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\Downloads\"/>
    </mc:Choice>
  </mc:AlternateContent>
  <xr:revisionPtr revIDLastSave="0" documentId="13_ncr:1_{987972F8-717C-44AE-8FD9-C1F637A5666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S OPM - Generic" sheetId="1" r:id="rId1"/>
    <sheet name="BS OPM Spin" sheetId="3" r:id="rId2"/>
    <sheet name="Prior vs At Expiration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" i="1" l="1"/>
  <c r="O14" i="1"/>
  <c r="O3" i="1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47" i="5"/>
  <c r="B4" i="5"/>
  <c r="B3" i="5"/>
  <c r="B2" i="5"/>
  <c r="O9" i="1" l="1"/>
  <c r="O24" i="1" s="1"/>
  <c r="L54" i="5"/>
  <c r="N54" i="5" s="1"/>
  <c r="L64" i="5"/>
  <c r="L57" i="5"/>
  <c r="L63" i="5"/>
  <c r="L60" i="5"/>
  <c r="L47" i="5"/>
  <c r="L66" i="5"/>
  <c r="L53" i="5"/>
  <c r="L50" i="5"/>
  <c r="L59" i="5"/>
  <c r="L56" i="5"/>
  <c r="L52" i="5"/>
  <c r="L65" i="5"/>
  <c r="L62" i="5"/>
  <c r="L49" i="5"/>
  <c r="L61" i="5"/>
  <c r="L67" i="5"/>
  <c r="L51" i="5"/>
  <c r="L48" i="5"/>
  <c r="L55" i="5"/>
  <c r="L58" i="5"/>
  <c r="B2" i="3"/>
  <c r="B3" i="3"/>
  <c r="B6" i="3"/>
  <c r="B5" i="3"/>
  <c r="B4" i="3"/>
  <c r="C3" i="1"/>
  <c r="O31" i="1" l="1"/>
  <c r="O10" i="1"/>
  <c r="O22" i="1"/>
  <c r="O29" i="1"/>
  <c r="O11" i="1"/>
  <c r="O32" i="1"/>
  <c r="O12" i="1"/>
  <c r="O28" i="1"/>
  <c r="O30" i="1"/>
  <c r="M54" i="5"/>
  <c r="O54" i="5" s="1"/>
  <c r="D54" i="5" s="1"/>
  <c r="J54" i="5" s="1"/>
  <c r="N58" i="5"/>
  <c r="M58" i="5"/>
  <c r="O58" i="5" s="1"/>
  <c r="M48" i="5"/>
  <c r="O48" i="5" s="1"/>
  <c r="N48" i="5"/>
  <c r="M56" i="5"/>
  <c r="O56" i="5" s="1"/>
  <c r="N56" i="5"/>
  <c r="N57" i="5"/>
  <c r="M57" i="5"/>
  <c r="O57" i="5" s="1"/>
  <c r="N51" i="5"/>
  <c r="M51" i="5"/>
  <c r="O51" i="5" s="1"/>
  <c r="N59" i="5"/>
  <c r="M59" i="5"/>
  <c r="O59" i="5" s="1"/>
  <c r="N50" i="5"/>
  <c r="M50" i="5"/>
  <c r="O50" i="5" s="1"/>
  <c r="N61" i="5"/>
  <c r="M61" i="5"/>
  <c r="O61" i="5" s="1"/>
  <c r="N53" i="5"/>
  <c r="M53" i="5"/>
  <c r="O53" i="5" s="1"/>
  <c r="N49" i="5"/>
  <c r="M49" i="5"/>
  <c r="O49" i="5" s="1"/>
  <c r="N66" i="5"/>
  <c r="M66" i="5"/>
  <c r="O66" i="5" s="1"/>
  <c r="M62" i="5"/>
  <c r="O62" i="5" s="1"/>
  <c r="N62" i="5"/>
  <c r="N47" i="5"/>
  <c r="M47" i="5"/>
  <c r="O47" i="5" s="1"/>
  <c r="N65" i="5"/>
  <c r="M65" i="5"/>
  <c r="O65" i="5" s="1"/>
  <c r="M52" i="5"/>
  <c r="O52" i="5" s="1"/>
  <c r="N52" i="5"/>
  <c r="N63" i="5"/>
  <c r="M63" i="5"/>
  <c r="O63" i="5" s="1"/>
  <c r="M60" i="5"/>
  <c r="O60" i="5" s="1"/>
  <c r="N60" i="5"/>
  <c r="M64" i="5"/>
  <c r="O64" i="5" s="1"/>
  <c r="N64" i="5"/>
  <c r="N55" i="5"/>
  <c r="M55" i="5"/>
  <c r="O55" i="5" s="1"/>
  <c r="N67" i="5"/>
  <c r="M67" i="5"/>
  <c r="O67" i="5" s="1"/>
  <c r="B15" i="3"/>
  <c r="E15" i="3"/>
  <c r="G3" i="1"/>
  <c r="K3" i="1"/>
  <c r="K9" i="1" s="1"/>
  <c r="C9" i="1"/>
  <c r="C10" i="1" s="1"/>
  <c r="K17" i="1"/>
  <c r="K14" i="1"/>
  <c r="G17" i="1"/>
  <c r="G14" i="1"/>
  <c r="C17" i="1"/>
  <c r="C14" i="1"/>
  <c r="C11" i="1"/>
  <c r="K22" i="1"/>
  <c r="K11" i="1"/>
  <c r="K28" i="1" s="1"/>
  <c r="O13" i="1" l="1"/>
  <c r="O16" i="1" s="1"/>
  <c r="O18" i="1" s="1"/>
  <c r="O21" i="1"/>
  <c r="O25" i="1"/>
  <c r="O23" i="1"/>
  <c r="D64" i="5"/>
  <c r="J64" i="5" s="1"/>
  <c r="D48" i="5"/>
  <c r="J48" i="5" s="1"/>
  <c r="D62" i="5"/>
  <c r="J62" i="5" s="1"/>
  <c r="D47" i="5"/>
  <c r="J47" i="5" s="1"/>
  <c r="D53" i="5"/>
  <c r="J53" i="5" s="1"/>
  <c r="D51" i="5"/>
  <c r="J51" i="5" s="1"/>
  <c r="D58" i="5"/>
  <c r="J58" i="5" s="1"/>
  <c r="D55" i="5"/>
  <c r="J55" i="5" s="1"/>
  <c r="D66" i="5"/>
  <c r="J66" i="5" s="1"/>
  <c r="D50" i="5"/>
  <c r="J50" i="5" s="1"/>
  <c r="D67" i="5"/>
  <c r="J67" i="5" s="1"/>
  <c r="D63" i="5"/>
  <c r="J63" i="5" s="1"/>
  <c r="D61" i="5"/>
  <c r="J61" i="5" s="1"/>
  <c r="D57" i="5"/>
  <c r="J57" i="5" s="1"/>
  <c r="D52" i="5"/>
  <c r="J52" i="5" s="1"/>
  <c r="D56" i="5"/>
  <c r="J56" i="5" s="1"/>
  <c r="D65" i="5"/>
  <c r="J65" i="5" s="1"/>
  <c r="D49" i="5"/>
  <c r="J49" i="5" s="1"/>
  <c r="D59" i="5"/>
  <c r="J59" i="5" s="1"/>
  <c r="D60" i="5"/>
  <c r="J60" i="5" s="1"/>
  <c r="C29" i="1"/>
  <c r="C31" i="1"/>
  <c r="C12" i="1"/>
  <c r="C23" i="1" s="1"/>
  <c r="C32" i="1"/>
  <c r="C22" i="1"/>
  <c r="C24" i="1"/>
  <c r="C30" i="1"/>
  <c r="G9" i="1"/>
  <c r="G24" i="1" s="1"/>
  <c r="K31" i="1"/>
  <c r="K24" i="1"/>
  <c r="K29" i="1"/>
  <c r="K21" i="1"/>
  <c r="C28" i="1"/>
  <c r="C21" i="1"/>
  <c r="K10" i="1"/>
  <c r="O15" i="1" l="1"/>
  <c r="G31" i="1"/>
  <c r="C13" i="1"/>
  <c r="C25" i="1"/>
  <c r="K30" i="1"/>
  <c r="K12" i="1"/>
  <c r="K32" i="1"/>
  <c r="G10" i="1"/>
  <c r="G30" i="1" s="1"/>
  <c r="G22" i="1"/>
  <c r="G11" i="1"/>
  <c r="G29" i="1"/>
  <c r="C15" i="1" l="1"/>
  <c r="C16" i="1"/>
  <c r="C18" i="1" s="1"/>
  <c r="K25" i="1"/>
  <c r="K23" i="1"/>
  <c r="K13" i="1"/>
  <c r="G21" i="1"/>
  <c r="G28" i="1"/>
  <c r="G32" i="1"/>
  <c r="G12" i="1"/>
  <c r="G25" i="1" l="1"/>
  <c r="G23" i="1"/>
  <c r="G13" i="1"/>
  <c r="K16" i="1"/>
  <c r="K18" i="1" s="1"/>
  <c r="K15" i="1"/>
  <c r="G15" i="1" l="1"/>
  <c r="G16" i="1"/>
  <c r="G18" i="1" s="1"/>
  <c r="B8" i="3" l="1"/>
  <c r="B23" i="3" l="1"/>
  <c r="E23" i="3"/>
  <c r="E21" i="3"/>
  <c r="B9" i="3"/>
  <c r="E22" i="3" s="1"/>
  <c r="B10" i="3"/>
  <c r="B21" i="3"/>
  <c r="B20" i="3" l="1"/>
  <c r="E20" i="3"/>
  <c r="B11" i="3"/>
  <c r="B14" i="3" s="1"/>
  <c r="E24" i="3"/>
  <c r="B24" i="3" l="1"/>
  <c r="B22" i="3"/>
  <c r="E14" i="3"/>
  <c r="E16" i="3" s="1"/>
  <c r="B16" i="3"/>
  <c r="B18" i="3" l="1"/>
  <c r="B17" i="3"/>
  <c r="E18" i="3"/>
  <c r="E17" i="3"/>
</calcChain>
</file>

<file path=xl/sharedStrings.xml><?xml version="1.0" encoding="utf-8"?>
<sst xmlns="http://schemas.openxmlformats.org/spreadsheetml/2006/main" count="175" uniqueCount="50">
  <si>
    <t>Time to Expiration</t>
  </si>
  <si>
    <t>Exercise Price</t>
  </si>
  <si>
    <t>Current Stock Price</t>
  </si>
  <si>
    <t>Volatility</t>
  </si>
  <si>
    <t>Risk-Free Rate</t>
  </si>
  <si>
    <t>Black-Scholes Option Pricing Model</t>
  </si>
  <si>
    <t>Call Option Value</t>
  </si>
  <si>
    <t>Put Option Value</t>
  </si>
  <si>
    <t>d1</t>
  </si>
  <si>
    <t>d2</t>
  </si>
  <si>
    <t>N(d1)</t>
  </si>
  <si>
    <t>N(d2)</t>
  </si>
  <si>
    <t>Stock Price</t>
  </si>
  <si>
    <t xml:space="preserve">   Intrinsic Value</t>
  </si>
  <si>
    <t xml:space="preserve">   Speculative Prem.</t>
  </si>
  <si>
    <t>Call</t>
  </si>
  <si>
    <t>Put</t>
  </si>
  <si>
    <t>Delta</t>
  </si>
  <si>
    <t>Gamma</t>
  </si>
  <si>
    <t>Theta</t>
  </si>
  <si>
    <t>Vega</t>
  </si>
  <si>
    <t>Rho</t>
  </si>
  <si>
    <t>BS OPM Sensitivity Analysis</t>
  </si>
  <si>
    <t>Spin button moves in increments of 1 day</t>
  </si>
  <si>
    <t>Spin button moves in increments of $0.10</t>
  </si>
  <si>
    <t>Spin button moves in increments of 0.1%</t>
  </si>
  <si>
    <t>Time to Expiration (days)</t>
  </si>
  <si>
    <t>INITIAL INPUT VALUES</t>
  </si>
  <si>
    <t>&lt;== (5 = 5 days; 15 = 15 days, etc.)</t>
  </si>
  <si>
    <t>&lt;== (1000 = $10; 8000 = $80, etc.)</t>
  </si>
  <si>
    <t>&lt;== (25 = $25; 80 = $80, etc.)</t>
  </si>
  <si>
    <t>&lt;== (1000 = 10%; 2950 = 29.5%, etc.)</t>
  </si>
  <si>
    <t>&lt;== (100 = 1%; 530 = 5.3%, etc.)</t>
  </si>
  <si>
    <t xml:space="preserve">          Spec. Premium as a % of Stock Price</t>
  </si>
  <si>
    <t xml:space="preserve">          Spec. Premium Per Day</t>
  </si>
  <si>
    <t>CALL OPTION</t>
  </si>
  <si>
    <t>PUT OPTION</t>
  </si>
  <si>
    <t>Time to Maturity (Days)</t>
  </si>
  <si>
    <r>
      <t>Volatility (</t>
    </r>
    <r>
      <rPr>
        <sz val="10"/>
        <rFont val="Calibri"/>
        <family val="2"/>
      </rPr>
      <t>σ</t>
    </r>
    <r>
      <rPr>
        <sz val="10"/>
        <rFont val="Arial"/>
        <family val="2"/>
      </rPr>
      <t>) of Underlying Stock</t>
    </r>
  </si>
  <si>
    <t>Strike (Exercise) Price</t>
  </si>
  <si>
    <t>Call Option</t>
  </si>
  <si>
    <t>Put Option</t>
  </si>
  <si>
    <t>Intrinsic Value</t>
  </si>
  <si>
    <t>Option Value</t>
  </si>
  <si>
    <t>Nd1</t>
  </si>
  <si>
    <t>Nd2</t>
  </si>
  <si>
    <t>Prior to Expiration</t>
  </si>
  <si>
    <t>At Expiration</t>
  </si>
  <si>
    <t>Initial Input Values</t>
  </si>
  <si>
    <t>Changeable (Spinnable) Inputs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</si>
</sst>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000"/>
  </numFmts>
  <fonts count="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8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0" fontId="1" fillId="0" borderId="0" xfId="0" applyFont="1"/>
    <xf numFmtId="165" fontId="0" fillId="0" borderId="0" xfId="0" applyNumberFormat="1"/>
    <xf numFmtId="0" fontId="3" fillId="0" borderId="0" xfId="0" applyFont="1"/>
    <xf numFmtId="0" fontId="6" fillId="0" borderId="0" xfId="0" applyFont="1"/>
    <xf numFmtId="0" fontId="6" fillId="0" borderId="0" xfId="0" applyFont="1" applyFill="1"/>
    <xf numFmtId="164" fontId="6" fillId="0" borderId="0" xfId="0" applyNumberFormat="1" applyFont="1" applyFill="1"/>
    <xf numFmtId="10" fontId="6" fillId="0" borderId="0" xfId="0" applyNumberFormat="1" applyFont="1" applyFill="1"/>
    <xf numFmtId="0" fontId="7" fillId="0" borderId="0" xfId="0" applyFont="1" applyAlignment="1"/>
    <xf numFmtId="0" fontId="0" fillId="3" borderId="1" xfId="0" applyFill="1" applyBorder="1"/>
    <xf numFmtId="0" fontId="5" fillId="3" borderId="1" xfId="0" applyFont="1" applyFill="1" applyBorder="1"/>
    <xf numFmtId="0" fontId="5" fillId="3" borderId="1" xfId="0" applyFont="1" applyFill="1" applyBorder="1" applyAlignment="1" applyProtection="1">
      <alignment horizontal="right"/>
      <protection locked="0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left"/>
    </xf>
    <xf numFmtId="10" fontId="0" fillId="0" borderId="0" xfId="0" applyNumberForma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NumberFormat="1"/>
    <xf numFmtId="0" fontId="7" fillId="4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2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activeX1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79176FB0-B7F2-11CE-97EF-00AA006D2776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Call Option -- Value of Option Prior to Expiration vs. At Expiration ($50 Strike)</a:t>
            </a:r>
          </a:p>
        </c:rich>
      </c:tx>
      <c:layout>
        <c:manualLayout>
          <c:xMode val="edge"/>
          <c:yMode val="edge"/>
          <c:x val="0.10034447821681862"/>
          <c:y val="2.9593091113580512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'Prior vs At Expiration'!$C$46</c:f>
              <c:strCache>
                <c:ptCount val="1"/>
                <c:pt idx="0">
                  <c:v>At Expiration</c:v>
                </c:pt>
              </c:strCache>
            </c:strRef>
          </c:tx>
          <c:spPr>
            <a:ln w="44450"/>
          </c:spPr>
          <c:marker>
            <c:symbol val="none"/>
          </c:marker>
          <c:xVal>
            <c:numRef>
              <c:f>'Prior vs At Expiration'!$B$47:$B$67</c:f>
              <c:numCache>
                <c:formatCode>General</c:formatCode>
                <c:ptCount val="2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</c:numCache>
            </c:numRef>
          </c:xVal>
          <c:yVal>
            <c:numRef>
              <c:f>'Prior vs At Expiration'!$C$47:$C$67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5AA-428C-8688-3E30C3915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9776"/>
        <c:axId val="106099200"/>
      </c:scatterChart>
      <c:scatterChart>
        <c:scatterStyle val="smoothMarker"/>
        <c:varyColors val="0"/>
        <c:ser>
          <c:idx val="1"/>
          <c:order val="1"/>
          <c:tx>
            <c:strRef>
              <c:f>'Prior vs At Expiration'!$D$46</c:f>
              <c:strCache>
                <c:ptCount val="1"/>
                <c:pt idx="0">
                  <c:v>Prior to Expiration</c:v>
                </c:pt>
              </c:strCache>
            </c:strRef>
          </c:tx>
          <c:marker>
            <c:symbol val="none"/>
          </c:marker>
          <c:xVal>
            <c:numRef>
              <c:f>'Prior vs At Expiration'!$B$47:$B$67</c:f>
              <c:numCache>
                <c:formatCode>General</c:formatCode>
                <c:ptCount val="2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</c:numCache>
            </c:numRef>
          </c:xVal>
          <c:yVal>
            <c:numRef>
              <c:f>'Prior vs At Expiration'!$D$47:$D$67</c:f>
              <c:numCache>
                <c:formatCode>"$"#,##0.00</c:formatCode>
                <c:ptCount val="21"/>
                <c:pt idx="0">
                  <c:v>5.9597789158691405E-2</c:v>
                </c:pt>
                <c:pt idx="1">
                  <c:v>0.10212968107554632</c:v>
                </c:pt>
                <c:pt idx="2">
                  <c:v>0.16701816043642648</c:v>
                </c:pt>
                <c:pt idx="3">
                  <c:v>0.26163940373181482</c:v>
                </c:pt>
                <c:pt idx="4">
                  <c:v>0.39399362745424327</c:v>
                </c:pt>
                <c:pt idx="5">
                  <c:v>0.57218049968338036</c:v>
                </c:pt>
                <c:pt idx="6">
                  <c:v>0.80379986835252915</c:v>
                </c:pt>
                <c:pt idx="7">
                  <c:v>1.0953607698547785</c:v>
                </c:pt>
                <c:pt idx="8">
                  <c:v>1.4517810219206631</c:v>
                </c:pt>
                <c:pt idx="9">
                  <c:v>1.8760424420924053</c:v>
                </c:pt>
                <c:pt idx="10">
                  <c:v>2.3690381836594483</c:v>
                </c:pt>
                <c:pt idx="11">
                  <c:v>2.9296163059954807</c:v>
                </c:pt>
                <c:pt idx="12">
                  <c:v>3.5547947293240405</c:v>
                </c:pt>
                <c:pt idx="13">
                  <c:v>4.240102340043336</c:v>
                </c:pt>
                <c:pt idx="14">
                  <c:v>4.979991478442976</c:v>
                </c:pt>
                <c:pt idx="15">
                  <c:v>5.7682678469673263</c:v>
                </c:pt>
                <c:pt idx="16">
                  <c:v>6.5984925493792304</c:v>
                </c:pt>
                <c:pt idx="17">
                  <c:v>7.4643241379512233</c:v>
                </c:pt>
                <c:pt idx="18">
                  <c:v>8.3597829072584133</c:v>
                </c:pt>
                <c:pt idx="19">
                  <c:v>9.279432654187687</c:v>
                </c:pt>
                <c:pt idx="20">
                  <c:v>10.218485157585896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AA-428C-8688-3E30C3915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9776"/>
        <c:axId val="106099200"/>
      </c:scatterChart>
      <c:valAx>
        <c:axId val="106099776"/>
        <c:scaling>
          <c:orientation val="minMax"/>
          <c:max val="60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Stock Price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6099200"/>
        <c:crosses val="autoZero"/>
        <c:crossBetween val="midCat"/>
      </c:valAx>
      <c:valAx>
        <c:axId val="106099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 of Call Option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609977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Put Option -- Value of Option Prior</a:t>
            </a:r>
            <a:r>
              <a:rPr lang="en-US" baseline="0"/>
              <a:t> to Expiration vs. At Expiration ($50 Strike)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'Prior vs At Expiration'!$I$46</c:f>
              <c:strCache>
                <c:ptCount val="1"/>
                <c:pt idx="0">
                  <c:v>Intrinsic Value</c:v>
                </c:pt>
              </c:strCache>
            </c:strRef>
          </c:tx>
          <c:spPr>
            <a:ln w="38100"/>
          </c:spPr>
          <c:marker>
            <c:symbol val="none"/>
          </c:marker>
          <c:xVal>
            <c:numRef>
              <c:f>'Prior vs At Expiration'!$H$47:$H$67</c:f>
              <c:numCache>
                <c:formatCode>General</c:formatCode>
                <c:ptCount val="2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</c:numCache>
            </c:numRef>
          </c:xVal>
          <c:yVal>
            <c:numRef>
              <c:f>'Prior vs At Expiration'!$I$47:$I$67</c:f>
              <c:numCache>
                <c:formatCode>General</c:formatCode>
                <c:ptCount val="21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7</c:v>
                </c:pt>
                <c:pt idx="4">
                  <c:v>6</c:v>
                </c:pt>
                <c:pt idx="5">
                  <c:v>5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95F-4005-AEC8-3892B5BBE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29984"/>
        <c:axId val="106729408"/>
      </c:scatterChart>
      <c:scatterChart>
        <c:scatterStyle val="smoothMarker"/>
        <c:varyColors val="0"/>
        <c:ser>
          <c:idx val="1"/>
          <c:order val="1"/>
          <c:tx>
            <c:strRef>
              <c:f>'Prior vs At Expiration'!$J$46</c:f>
              <c:strCache>
                <c:ptCount val="1"/>
                <c:pt idx="0">
                  <c:v>Option Value</c:v>
                </c:pt>
              </c:strCache>
            </c:strRef>
          </c:tx>
          <c:marker>
            <c:symbol val="none"/>
          </c:marker>
          <c:xVal>
            <c:numRef>
              <c:f>'Prior vs At Expiration'!$H$47:$H$67</c:f>
              <c:numCache>
                <c:formatCode>General</c:formatCode>
                <c:ptCount val="21"/>
                <c:pt idx="0">
                  <c:v>40</c:v>
                </c:pt>
                <c:pt idx="1">
                  <c:v>41</c:v>
                </c:pt>
                <c:pt idx="2">
                  <c:v>42</c:v>
                </c:pt>
                <c:pt idx="3">
                  <c:v>43</c:v>
                </c:pt>
                <c:pt idx="4">
                  <c:v>44</c:v>
                </c:pt>
                <c:pt idx="5">
                  <c:v>45</c:v>
                </c:pt>
                <c:pt idx="6">
                  <c:v>46</c:v>
                </c:pt>
                <c:pt idx="7">
                  <c:v>47</c:v>
                </c:pt>
                <c:pt idx="8">
                  <c:v>48</c:v>
                </c:pt>
                <c:pt idx="9">
                  <c:v>49</c:v>
                </c:pt>
                <c:pt idx="10">
                  <c:v>50</c:v>
                </c:pt>
                <c:pt idx="11">
                  <c:v>51</c:v>
                </c:pt>
                <c:pt idx="12">
                  <c:v>52</c:v>
                </c:pt>
                <c:pt idx="13">
                  <c:v>53</c:v>
                </c:pt>
                <c:pt idx="14">
                  <c:v>54</c:v>
                </c:pt>
                <c:pt idx="15">
                  <c:v>55</c:v>
                </c:pt>
                <c:pt idx="16">
                  <c:v>56</c:v>
                </c:pt>
                <c:pt idx="17">
                  <c:v>57</c:v>
                </c:pt>
                <c:pt idx="18">
                  <c:v>58</c:v>
                </c:pt>
                <c:pt idx="19">
                  <c:v>59</c:v>
                </c:pt>
                <c:pt idx="20">
                  <c:v>60</c:v>
                </c:pt>
              </c:numCache>
            </c:numRef>
          </c:xVal>
          <c:yVal>
            <c:numRef>
              <c:f>'Prior vs At Expiration'!$J$47:$J$67</c:f>
              <c:numCache>
                <c:formatCode>"$"#,##0.00</c:formatCode>
                <c:ptCount val="21"/>
                <c:pt idx="0">
                  <c:v>10.004833282040757</c:v>
                </c:pt>
                <c:pt idx="1">
                  <c:v>9.0473651739576084</c:v>
                </c:pt>
                <c:pt idx="2">
                  <c:v>8.1122536533184899</c:v>
                </c:pt>
                <c:pt idx="3">
                  <c:v>7.2068748966138756</c:v>
                </c:pt>
                <c:pt idx="4">
                  <c:v>6.3392291203363058</c:v>
                </c:pt>
                <c:pt idx="5">
                  <c:v>5.5174159925654465</c:v>
                </c:pt>
                <c:pt idx="6">
                  <c:v>4.7490353612345899</c:v>
                </c:pt>
                <c:pt idx="7">
                  <c:v>4.040596262736841</c:v>
                </c:pt>
                <c:pt idx="8">
                  <c:v>3.3970165148027291</c:v>
                </c:pt>
                <c:pt idx="9">
                  <c:v>2.8212779349744679</c:v>
                </c:pt>
                <c:pt idx="10">
                  <c:v>2.3142736765415108</c:v>
                </c:pt>
                <c:pt idx="11">
                  <c:v>1.8748517988775433</c:v>
                </c:pt>
                <c:pt idx="12">
                  <c:v>1.5000302222061066</c:v>
                </c:pt>
                <c:pt idx="13">
                  <c:v>1.1853378329253985</c:v>
                </c:pt>
                <c:pt idx="14">
                  <c:v>0.92522697132503851</c:v>
                </c:pt>
                <c:pt idx="15">
                  <c:v>0.71350333984938885</c:v>
                </c:pt>
                <c:pt idx="16">
                  <c:v>0.5437280422612929</c:v>
                </c:pt>
                <c:pt idx="17">
                  <c:v>0.40955963083328584</c:v>
                </c:pt>
                <c:pt idx="18">
                  <c:v>0.30501840014047588</c:v>
                </c:pt>
                <c:pt idx="19">
                  <c:v>0.22466814706974958</c:v>
                </c:pt>
                <c:pt idx="20">
                  <c:v>0.16372065046795825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95F-4005-AEC8-3892B5BBE7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729984"/>
        <c:axId val="106729408"/>
      </c:scatterChart>
      <c:valAx>
        <c:axId val="106729984"/>
        <c:scaling>
          <c:orientation val="minMax"/>
          <c:max val="60"/>
          <c:min val="4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Stock Price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6729408"/>
        <c:crosses val="autoZero"/>
        <c:crossBetween val="midCat"/>
      </c:valAx>
      <c:valAx>
        <c:axId val="106729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Value of Put Option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067299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1</xdr:row>
          <xdr:rowOff>30480</xdr:rowOff>
        </xdr:from>
        <xdr:to>
          <xdr:col>2</xdr:col>
          <xdr:colOff>449580</xdr:colOff>
          <xdr:row>1</xdr:row>
          <xdr:rowOff>327660</xdr:rowOff>
        </xdr:to>
        <xdr:sp macro="" textlink="">
          <xdr:nvSpPr>
            <xdr:cNvPr id="1025" name="SpinButton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3</xdr:row>
          <xdr:rowOff>30480</xdr:rowOff>
        </xdr:from>
        <xdr:to>
          <xdr:col>2</xdr:col>
          <xdr:colOff>441960</xdr:colOff>
          <xdr:row>3</xdr:row>
          <xdr:rowOff>312420</xdr:rowOff>
        </xdr:to>
        <xdr:sp macro="" textlink="">
          <xdr:nvSpPr>
            <xdr:cNvPr id="1027" name="SpinButton2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</xdr:row>
          <xdr:rowOff>30480</xdr:rowOff>
        </xdr:from>
        <xdr:to>
          <xdr:col>2</xdr:col>
          <xdr:colOff>419100</xdr:colOff>
          <xdr:row>4</xdr:row>
          <xdr:rowOff>327660</xdr:rowOff>
        </xdr:to>
        <xdr:sp macro="" textlink="">
          <xdr:nvSpPr>
            <xdr:cNvPr id="1028" name="SpinButton3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1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175260</xdr:colOff>
          <xdr:row>5</xdr:row>
          <xdr:rowOff>30480</xdr:rowOff>
        </xdr:from>
        <xdr:to>
          <xdr:col>2</xdr:col>
          <xdr:colOff>457200</xdr:colOff>
          <xdr:row>5</xdr:row>
          <xdr:rowOff>342900</xdr:rowOff>
        </xdr:to>
        <xdr:sp macro="" textlink="">
          <xdr:nvSpPr>
            <xdr:cNvPr id="1029" name="SpinButton4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1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1</xdr:row>
          <xdr:rowOff>45720</xdr:rowOff>
        </xdr:from>
        <xdr:to>
          <xdr:col>2</xdr:col>
          <xdr:colOff>449580</xdr:colOff>
          <xdr:row>1</xdr:row>
          <xdr:rowOff>373380</xdr:rowOff>
        </xdr:to>
        <xdr:sp macro="" textlink="">
          <xdr:nvSpPr>
            <xdr:cNvPr id="5121" name="SpinButton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2</xdr:row>
          <xdr:rowOff>38100</xdr:rowOff>
        </xdr:from>
        <xdr:to>
          <xdr:col>2</xdr:col>
          <xdr:colOff>449580</xdr:colOff>
          <xdr:row>2</xdr:row>
          <xdr:rowOff>350520</xdr:rowOff>
        </xdr:to>
        <xdr:sp macro="" textlink="">
          <xdr:nvSpPr>
            <xdr:cNvPr id="5122" name="SpinButton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160020</xdr:colOff>
          <xdr:row>3</xdr:row>
          <xdr:rowOff>45720</xdr:rowOff>
        </xdr:from>
        <xdr:to>
          <xdr:col>2</xdr:col>
          <xdr:colOff>449580</xdr:colOff>
          <xdr:row>3</xdr:row>
          <xdr:rowOff>373380</xdr:rowOff>
        </xdr:to>
        <xdr:sp macro="" textlink="">
          <xdr:nvSpPr>
            <xdr:cNvPr id="5123" name="SpinButton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409575</xdr:colOff>
      <xdr:row>5</xdr:row>
      <xdr:rowOff>100012</xdr:rowOff>
    </xdr:from>
    <xdr:to>
      <xdr:col>4</xdr:col>
      <xdr:colOff>314325</xdr:colOff>
      <xdr:row>29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419100</xdr:colOff>
      <xdr:row>5</xdr:row>
      <xdr:rowOff>109536</xdr:rowOff>
    </xdr:from>
    <xdr:to>
      <xdr:col>13</xdr:col>
      <xdr:colOff>190500</xdr:colOff>
      <xdr:row>29</xdr:row>
      <xdr:rowOff>95249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10" Type="http://schemas.openxmlformats.org/officeDocument/2006/relationships/image" Target="../media/image4.emf"/><Relationship Id="rId4" Type="http://schemas.openxmlformats.org/officeDocument/2006/relationships/image" Target="../media/image1.emf"/><Relationship Id="rId9" Type="http://schemas.openxmlformats.org/officeDocument/2006/relationships/control" Target="../activeX/activeX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1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6.xml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/>
  <dimension ref="A1:O32"/>
  <sheetViews>
    <sheetView tabSelected="1" topLeftCell="A3" workbookViewId="0">
      <selection activeCell="H5" sqref="H5"/>
    </sheetView>
  </sheetViews>
  <sheetFormatPr defaultRowHeight="13.2" x14ac:dyDescent="0.25"/>
  <sheetData>
    <row r="1" spans="1:15" ht="17.399999999999999" x14ac:dyDescent="0.3">
      <c r="A1" s="23" t="s">
        <v>5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3" spans="1:15" x14ac:dyDescent="0.25">
      <c r="A3" t="s">
        <v>0</v>
      </c>
      <c r="C3" s="2">
        <f>26/365</f>
        <v>7.1232876712328766E-2</v>
      </c>
      <c r="E3" t="s">
        <v>0</v>
      </c>
      <c r="G3" s="2">
        <f>29/365</f>
        <v>7.9452054794520555E-2</v>
      </c>
      <c r="I3" t="s">
        <v>0</v>
      </c>
      <c r="K3" s="2">
        <f>30/365</f>
        <v>8.2191780821917804E-2</v>
      </c>
      <c r="M3" t="s">
        <v>0</v>
      </c>
      <c r="O3" s="2">
        <f>30/365</f>
        <v>8.2191780821917804E-2</v>
      </c>
    </row>
    <row r="4" spans="1:15" x14ac:dyDescent="0.25">
      <c r="A4" t="s">
        <v>1</v>
      </c>
      <c r="C4" s="3">
        <v>280</v>
      </c>
      <c r="E4" t="s">
        <v>1</v>
      </c>
      <c r="G4" s="3">
        <v>270</v>
      </c>
      <c r="I4" t="s">
        <v>1</v>
      </c>
      <c r="K4" s="3">
        <v>40</v>
      </c>
      <c r="M4" t="s">
        <v>1</v>
      </c>
      <c r="O4" s="3">
        <v>40</v>
      </c>
    </row>
    <row r="5" spans="1:15" x14ac:dyDescent="0.25">
      <c r="A5" t="s">
        <v>2</v>
      </c>
      <c r="C5" s="3">
        <v>272.73</v>
      </c>
      <c r="E5" t="s">
        <v>2</v>
      </c>
      <c r="G5" s="3">
        <v>272.73</v>
      </c>
      <c r="I5" t="s">
        <v>2</v>
      </c>
      <c r="K5" s="3">
        <v>42.5</v>
      </c>
      <c r="M5" t="s">
        <v>2</v>
      </c>
      <c r="O5" s="3">
        <v>42.5</v>
      </c>
    </row>
    <row r="6" spans="1:15" x14ac:dyDescent="0.25">
      <c r="A6" t="s">
        <v>3</v>
      </c>
      <c r="C6" s="4">
        <v>0.39</v>
      </c>
      <c r="E6" t="s">
        <v>3</v>
      </c>
      <c r="G6" s="4">
        <v>0.3</v>
      </c>
      <c r="I6" t="s">
        <v>3</v>
      </c>
      <c r="K6" s="4">
        <v>0.5</v>
      </c>
      <c r="M6" t="s">
        <v>3</v>
      </c>
      <c r="O6" s="4">
        <v>0.5</v>
      </c>
    </row>
    <row r="7" spans="1:15" x14ac:dyDescent="0.25">
      <c r="A7" t="s">
        <v>4</v>
      </c>
      <c r="C7" s="4">
        <v>1E-3</v>
      </c>
      <c r="E7" t="s">
        <v>4</v>
      </c>
      <c r="G7" s="4">
        <v>1E-3</v>
      </c>
      <c r="I7" t="s">
        <v>4</v>
      </c>
      <c r="K7" s="4">
        <v>0.03</v>
      </c>
      <c r="M7" t="s">
        <v>4</v>
      </c>
      <c r="O7" s="4">
        <v>0.03</v>
      </c>
    </row>
    <row r="9" spans="1:15" x14ac:dyDescent="0.25">
      <c r="A9" t="s">
        <v>8</v>
      </c>
      <c r="C9">
        <f>(LN(C5/C4) + (C7 + 0.5*(C6^2))*C3)/(C6*(C3^0.5))</f>
        <v>-0.20000974756547046</v>
      </c>
      <c r="E9" t="s">
        <v>8</v>
      </c>
      <c r="G9">
        <f>(LN(G5/G4) + (G7 + 0.5*(G6^2))*G3)/(G6*(G3^0.5))</f>
        <v>0.1621907631493992</v>
      </c>
      <c r="I9" t="s">
        <v>8</v>
      </c>
      <c r="K9">
        <f>(LN(K5/K4) + (K7 + 0.5*(K6^2))*K3)/(K6*(K3^0.5))</f>
        <v>0.51180068387489008</v>
      </c>
      <c r="M9" t="s">
        <v>8</v>
      </c>
      <c r="O9">
        <f>(LN(O5/O4) + (O7 + 0.5*(O6^2))*O3)/(O6*(O3^0.5))</f>
        <v>0.51180068387489008</v>
      </c>
    </row>
    <row r="10" spans="1:15" x14ac:dyDescent="0.25">
      <c r="A10" t="s">
        <v>9</v>
      </c>
      <c r="C10">
        <f>(C9 - C6*(C3^0.5))</f>
        <v>-0.30409875057705282</v>
      </c>
      <c r="E10" t="s">
        <v>9</v>
      </c>
      <c r="G10">
        <f>(G9 - G6*(G3^0.5))</f>
        <v>7.7629040535045782E-2</v>
      </c>
      <c r="I10" t="s">
        <v>9</v>
      </c>
      <c r="K10">
        <f>(K9 - K6*(K3^0.5))</f>
        <v>0.36845513910464112</v>
      </c>
      <c r="M10" t="s">
        <v>9</v>
      </c>
      <c r="O10">
        <f>(O9 - O6*(O3^0.5))</f>
        <v>0.36845513910464112</v>
      </c>
    </row>
    <row r="11" spans="1:15" x14ac:dyDescent="0.25">
      <c r="A11" t="s">
        <v>10</v>
      </c>
      <c r="C11">
        <f>NORMSDIST(C9)</f>
        <v>0.42073647885035126</v>
      </c>
      <c r="E11" t="s">
        <v>10</v>
      </c>
      <c r="G11">
        <f>NORMSDIST(G9)</f>
        <v>0.56442218328339799</v>
      </c>
      <c r="I11" t="s">
        <v>10</v>
      </c>
      <c r="K11">
        <f>NORMSDIST(K9)</f>
        <v>0.69560474415666129</v>
      </c>
      <c r="M11" t="s">
        <v>10</v>
      </c>
      <c r="O11">
        <f>NORMSDIST(O9)</f>
        <v>0.69560474415666129</v>
      </c>
    </row>
    <row r="12" spans="1:15" x14ac:dyDescent="0.25">
      <c r="A12" t="s">
        <v>11</v>
      </c>
      <c r="C12">
        <f>NORMSDIST(C10)</f>
        <v>0.38052632934478636</v>
      </c>
      <c r="E12" t="s">
        <v>11</v>
      </c>
      <c r="G12">
        <f>NORMSDIST(G10)</f>
        <v>0.53093842946279113</v>
      </c>
      <c r="I12" t="s">
        <v>11</v>
      </c>
      <c r="K12">
        <f>NORMSDIST(K10)</f>
        <v>0.64373305518046142</v>
      </c>
      <c r="M12" t="s">
        <v>11</v>
      </c>
      <c r="O12">
        <f>NORMSDIST(O10)</f>
        <v>0.64373305518046142</v>
      </c>
    </row>
    <row r="13" spans="1:15" x14ac:dyDescent="0.25">
      <c r="A13" t="s">
        <v>6</v>
      </c>
      <c r="C13" s="1">
        <f>(C5*C11)-((C4/(EXP(C7*C3)))*C12)</f>
        <v>8.20767706583446</v>
      </c>
      <c r="E13" t="s">
        <v>6</v>
      </c>
      <c r="G13" s="1">
        <f>(G5*G11)-((G4/(EXP(G7*G3)))*G12)</f>
        <v>10.592875359752526</v>
      </c>
      <c r="I13" t="s">
        <v>6</v>
      </c>
      <c r="K13" s="1">
        <f>(K5*K11)-((K4/(EXP(K7*K3)))*K12)</f>
        <v>3.8772926859860632</v>
      </c>
      <c r="M13" t="s">
        <v>6</v>
      </c>
      <c r="O13" s="1">
        <f>(O5*O11)-((O4/(EXP(O7*O3)))*O12)</f>
        <v>3.8772926859860632</v>
      </c>
    </row>
    <row r="14" spans="1:15" x14ac:dyDescent="0.25">
      <c r="A14" t="s">
        <v>13</v>
      </c>
      <c r="C14" s="1">
        <f>MAX(C5-C4,0)</f>
        <v>0</v>
      </c>
      <c r="E14" t="s">
        <v>13</v>
      </c>
      <c r="G14" s="1">
        <f>MAX(G5-G4,0)</f>
        <v>2.7300000000000182</v>
      </c>
      <c r="I14" t="s">
        <v>13</v>
      </c>
      <c r="K14" s="1">
        <f>MAX(K5-K4,0)</f>
        <v>2.5</v>
      </c>
      <c r="M14" t="s">
        <v>13</v>
      </c>
      <c r="O14" s="1">
        <f>MAX(O5-O4,0)</f>
        <v>2.5</v>
      </c>
    </row>
    <row r="15" spans="1:15" x14ac:dyDescent="0.25">
      <c r="A15" t="s">
        <v>14</v>
      </c>
      <c r="C15" s="1">
        <f>(C13-C14)</f>
        <v>8.20767706583446</v>
      </c>
      <c r="E15" t="s">
        <v>14</v>
      </c>
      <c r="G15" s="1">
        <f>(G13-G14)</f>
        <v>7.8628753597525076</v>
      </c>
      <c r="I15" t="s">
        <v>14</v>
      </c>
      <c r="K15" s="1">
        <f>(K13-K14)</f>
        <v>1.3772926859860632</v>
      </c>
      <c r="M15" t="s">
        <v>14</v>
      </c>
      <c r="O15" s="1">
        <f>(O13-O14)</f>
        <v>1.3772926859860632</v>
      </c>
    </row>
    <row r="16" spans="1:15" x14ac:dyDescent="0.25">
      <c r="A16" t="s">
        <v>7</v>
      </c>
      <c r="C16" s="1">
        <f>(C13 + (C4/(EXP(C7*C3))) - C5)</f>
        <v>15.45773257071528</v>
      </c>
      <c r="E16" t="s">
        <v>7</v>
      </c>
      <c r="G16" s="1">
        <f>(G13 + (G4/(EXP(G7*G3))) - G5)</f>
        <v>7.8414241571402954</v>
      </c>
      <c r="I16" t="s">
        <v>7</v>
      </c>
      <c r="K16" s="1">
        <f>(K13 + (K4/(EXP(K7*K3))) - K5)</f>
        <v>1.2787840479161474</v>
      </c>
      <c r="M16" t="s">
        <v>7</v>
      </c>
      <c r="O16" s="1">
        <f>(O13 + (O4/(EXP(O7*O3))) - O5)</f>
        <v>1.2787840479161474</v>
      </c>
    </row>
    <row r="17" spans="1:15" x14ac:dyDescent="0.25">
      <c r="A17" t="s">
        <v>13</v>
      </c>
      <c r="C17" s="1">
        <f>MAX(C4-C5,0)</f>
        <v>7.2699999999999818</v>
      </c>
      <c r="E17" t="s">
        <v>13</v>
      </c>
      <c r="G17" s="1">
        <f>MAX(G4-G5,0)</f>
        <v>0</v>
      </c>
      <c r="I17" t="s">
        <v>13</v>
      </c>
      <c r="K17" s="1">
        <f>MAX(K4-K5,0)</f>
        <v>0</v>
      </c>
      <c r="M17" t="s">
        <v>13</v>
      </c>
      <c r="O17" s="1">
        <f>MAX(O4-O5,0)</f>
        <v>0</v>
      </c>
    </row>
    <row r="18" spans="1:15" x14ac:dyDescent="0.25">
      <c r="A18" t="s">
        <v>14</v>
      </c>
      <c r="C18" s="1">
        <f>(C16-C17)</f>
        <v>8.1877325707152977</v>
      </c>
      <c r="E18" t="s">
        <v>14</v>
      </c>
      <c r="G18" s="1">
        <f>(G16-G17)</f>
        <v>7.8414241571402954</v>
      </c>
      <c r="I18" t="s">
        <v>14</v>
      </c>
      <c r="K18" s="1">
        <f>(K16-K17)</f>
        <v>1.2787840479161474</v>
      </c>
      <c r="M18" t="s">
        <v>14</v>
      </c>
      <c r="O18" s="1">
        <f>(O16-O17)</f>
        <v>1.2787840479161474</v>
      </c>
    </row>
    <row r="20" spans="1:15" x14ac:dyDescent="0.25">
      <c r="B20" s="5" t="s">
        <v>15</v>
      </c>
      <c r="F20" s="5" t="s">
        <v>15</v>
      </c>
      <c r="J20" s="5" t="s">
        <v>15</v>
      </c>
      <c r="N20" s="5" t="s">
        <v>15</v>
      </c>
    </row>
    <row r="21" spans="1:15" x14ac:dyDescent="0.25">
      <c r="B21" t="s">
        <v>17</v>
      </c>
      <c r="C21" s="6">
        <f>C11</f>
        <v>0.42073647885035126</v>
      </c>
      <c r="F21" t="s">
        <v>17</v>
      </c>
      <c r="G21" s="6">
        <f>G11</f>
        <v>0.56442218328339799</v>
      </c>
      <c r="J21" t="s">
        <v>17</v>
      </c>
      <c r="K21" s="6">
        <f>K11</f>
        <v>0.69560474415666129</v>
      </c>
      <c r="N21" t="s">
        <v>17</v>
      </c>
      <c r="O21" s="6">
        <f>O11</f>
        <v>0.69560474415666129</v>
      </c>
    </row>
    <row r="22" spans="1:15" x14ac:dyDescent="0.25">
      <c r="B22" t="s">
        <v>18</v>
      </c>
      <c r="C22" s="6">
        <f>((1/(SQRT(2*PI())))*EXP(-1*(((C9^2)/2))))/(C5*C6*SQRT(C3))</f>
        <v>1.3774808446387914E-2</v>
      </c>
      <c r="F22" t="s">
        <v>18</v>
      </c>
      <c r="G22" s="6">
        <f>((1/(SQRT(2*PI())))*EXP(-1*(((G9^2)/2))))/(G5*G6*SQRT(G3))</f>
        <v>1.7072262923024974E-2</v>
      </c>
      <c r="J22" t="s">
        <v>18</v>
      </c>
      <c r="K22" s="6">
        <f>((1/(SQRT(2*PI())))*EXP(-1*(((K9^2)/2))))/(K5*K6*SQRT(K3))</f>
        <v>5.744568348780546E-2</v>
      </c>
      <c r="N22" t="s">
        <v>18</v>
      </c>
      <c r="O22" s="6">
        <f>((1/(SQRT(2*PI())))*EXP(-1*(((O9^2)/2))))/(O5*O6*SQRT(O3))</f>
        <v>5.744568348780546E-2</v>
      </c>
    </row>
    <row r="23" spans="1:15" x14ac:dyDescent="0.25">
      <c r="B23" t="s">
        <v>19</v>
      </c>
      <c r="C23" s="6">
        <f>(-1*((C5)*((1/(SQRT(2*PI())))*EXP(-1*(((C9^2)/2))))*C6)/(2*SQRT(C3))) - C7*C4*EXP(-C7*C3)*C12</f>
        <v>-78.026839001206483</v>
      </c>
      <c r="F23" t="s">
        <v>19</v>
      </c>
      <c r="G23" s="6">
        <f>(-1*((G5)*((1/(SQRT(2*PI())))*EXP(-1*(((G9^2)/2))))*G6)/(2*SQRT(G3))) - G7*G4*EXP(-G7*G3)*G12</f>
        <v>-57.287183059796362</v>
      </c>
      <c r="J23" t="s">
        <v>19</v>
      </c>
      <c r="K23" s="6">
        <f>(-1*((K5)*((1/(SQRT(2*PI())))*EXP(-1*(((K9^2)/2))))*K6)/(2*SQRT(K3))) - K7*K4*EXP(-K7*K3)*K12</f>
        <v>-13.740735493201237</v>
      </c>
      <c r="N23" t="s">
        <v>19</v>
      </c>
      <c r="O23" s="6">
        <f>(-1*((O5)*((1/(SQRT(2*PI())))*EXP(-1*(((O9^2)/2))))*O6)/(2*SQRT(O3))) - O7*O4*EXP(-O7*O3)*O12</f>
        <v>-13.740735493201237</v>
      </c>
    </row>
    <row r="24" spans="1:15" x14ac:dyDescent="0.25">
      <c r="B24" t="s">
        <v>20</v>
      </c>
      <c r="C24" s="6">
        <f>C5*SQRT(C3)*((1/(SQRT(2*PI())))*EXP(-1*(((C9^2)/2))))</f>
        <v>28.46403624416272</v>
      </c>
      <c r="F24" t="s">
        <v>20</v>
      </c>
      <c r="G24" s="6">
        <f>G5*SQRT(G3)*((1/(SQRT(2*PI())))*EXP(-1*(((G9^2)/2))))</f>
        <v>30.267970614067004</v>
      </c>
      <c r="J24" t="s">
        <v>20</v>
      </c>
      <c r="K24" s="6">
        <f>K5*SQRT(K3)*((1/(SQRT(2*PI())))*EXP(-1*(((K9^2)/2))))</f>
        <v>4.2641616082129561</v>
      </c>
      <c r="N24" t="s">
        <v>20</v>
      </c>
      <c r="O24" s="6">
        <f>O5*SQRT(O3)*((1/(SQRT(2*PI())))*EXP(-1*(((O9^2)/2))))</f>
        <v>4.2641616082129561</v>
      </c>
    </row>
    <row r="25" spans="1:15" x14ac:dyDescent="0.25">
      <c r="B25" t="s">
        <v>21</v>
      </c>
      <c r="C25">
        <f>C4*C3*(EXP(-1*C7*C3))*C12</f>
        <v>7.589135213935803</v>
      </c>
      <c r="F25" t="s">
        <v>21</v>
      </c>
      <c r="G25">
        <f>G4*G3*(EXP(-1*G7*G3))*G12</f>
        <v>11.388815380621178</v>
      </c>
      <c r="J25" t="s">
        <v>21</v>
      </c>
      <c r="K25">
        <f>K4*K3*(EXP(-1*K7*K3))*K12</f>
        <v>2.1111705978634556</v>
      </c>
      <c r="N25" t="s">
        <v>21</v>
      </c>
      <c r="O25">
        <f>O4*O3*(EXP(-1*O7*O3))*O12</f>
        <v>2.1111705978634556</v>
      </c>
    </row>
    <row r="27" spans="1:15" x14ac:dyDescent="0.25">
      <c r="B27" s="5" t="s">
        <v>16</v>
      </c>
      <c r="F27" s="5" t="s">
        <v>16</v>
      </c>
      <c r="J27" s="5" t="s">
        <v>16</v>
      </c>
      <c r="N27" s="5" t="s">
        <v>16</v>
      </c>
    </row>
    <row r="28" spans="1:15" x14ac:dyDescent="0.25">
      <c r="B28" t="s">
        <v>17</v>
      </c>
      <c r="C28" s="6">
        <f>C11-1</f>
        <v>-0.57926352114964874</v>
      </c>
      <c r="F28" t="s">
        <v>17</v>
      </c>
      <c r="G28" s="6">
        <f>G11-1</f>
        <v>-0.43557781671660201</v>
      </c>
      <c r="J28" t="s">
        <v>17</v>
      </c>
      <c r="K28" s="6">
        <f>K11-1</f>
        <v>-0.30439525584333871</v>
      </c>
      <c r="N28" t="s">
        <v>17</v>
      </c>
      <c r="O28" s="6">
        <f>O11-1</f>
        <v>-0.30439525584333871</v>
      </c>
    </row>
    <row r="29" spans="1:15" x14ac:dyDescent="0.25">
      <c r="B29" t="s">
        <v>18</v>
      </c>
      <c r="C29" s="6">
        <f>((1/(SQRT(2*PI())))*EXP(-1*(((C9^2)/2))))/(C5*C6*SQRT(C3))</f>
        <v>1.3774808446387914E-2</v>
      </c>
      <c r="F29" t="s">
        <v>18</v>
      </c>
      <c r="G29" s="6">
        <f>((1/(SQRT(2*PI())))*EXP(-1*(((G9^2)/2))))/(G5*G6*SQRT(G3))</f>
        <v>1.7072262923024974E-2</v>
      </c>
      <c r="J29" t="s">
        <v>18</v>
      </c>
      <c r="K29" s="6">
        <f>((1/(SQRT(2*PI())))*EXP(-1*(((K9^2)/2))))/(K5*K6*SQRT(K3))</f>
        <v>5.744568348780546E-2</v>
      </c>
      <c r="N29" t="s">
        <v>18</v>
      </c>
      <c r="O29" s="6">
        <f>((1/(SQRT(2*PI())))*EXP(-1*(((O9^2)/2))))/(O5*O6*SQRT(O3))</f>
        <v>5.744568348780546E-2</v>
      </c>
    </row>
    <row r="30" spans="1:15" x14ac:dyDescent="0.25">
      <c r="B30" t="s">
        <v>19</v>
      </c>
      <c r="C30" s="6">
        <f>(-1*((C5)*((1/(SQRT(2*PI())))*EXP(-1*(((C9^2)/2))))*C6)/(2*SQRT(C3))) + C7*C4*EXP(-C7*C3)*NORMSDIST(-C10)</f>
        <v>-77.746858945701604</v>
      </c>
      <c r="F30" t="s">
        <v>19</v>
      </c>
      <c r="G30" s="6">
        <f>(-1*((G5)*((1/(SQRT(2*PI())))*EXP(-1*(((G9^2)/2))))*G6)/(2*SQRT(G3))) + G7*G4*EXP(-G7*G3)*NORMSDIST(-G10)</f>
        <v>-57.01720451099898</v>
      </c>
      <c r="J30" t="s">
        <v>19</v>
      </c>
      <c r="K30" s="6">
        <f>(-1*((K5)*((1/(SQRT(2*PI())))*EXP(-1*(((K9^2)/2))))*K6)/(2*SQRT(K3))) + K7*K4*EXP(-K7*K3)*NORMSDIST(-K10)</f>
        <v>-12.543690752343334</v>
      </c>
      <c r="N30" t="s">
        <v>19</v>
      </c>
      <c r="O30" s="6">
        <f>(-1*((O5)*((1/(SQRT(2*PI())))*EXP(-1*(((O9^2)/2))))*O6)/(2*SQRT(O3))) + O7*O4*EXP(-O7*O3)*NORMSDIST(-O10)</f>
        <v>-12.543690752343334</v>
      </c>
    </row>
    <row r="31" spans="1:15" x14ac:dyDescent="0.25">
      <c r="B31" t="s">
        <v>20</v>
      </c>
      <c r="C31" s="6">
        <f>C5*SQRT(C3)*((1/(SQRT(2*PI())))*EXP(-1*(((C9^2)/2))))</f>
        <v>28.46403624416272</v>
      </c>
      <c r="F31" t="s">
        <v>20</v>
      </c>
      <c r="G31" s="6">
        <f>G5*SQRT(G3)*((1/(SQRT(2*PI())))*EXP(-1*(((G9^2)/2))))</f>
        <v>30.267970614067004</v>
      </c>
      <c r="J31" t="s">
        <v>20</v>
      </c>
      <c r="K31" s="6">
        <f>K5*SQRT(K3)*((1/(SQRT(2*PI())))*EXP(-1*(((K9^2)/2))))</f>
        <v>4.2641616082129561</v>
      </c>
      <c r="N31" t="s">
        <v>20</v>
      </c>
      <c r="O31" s="6">
        <f>O5*SQRT(O3)*((1/(SQRT(2*PI())))*EXP(-1*(((O9^2)/2))))</f>
        <v>4.2641616082129561</v>
      </c>
    </row>
    <row r="32" spans="1:15" x14ac:dyDescent="0.25">
      <c r="B32" t="s">
        <v>21</v>
      </c>
      <c r="C32">
        <f>-C4*C3*(EXP(-1*C7*C3))*NORMSDIST(-C10)</f>
        <v>-12.354649561754337</v>
      </c>
      <c r="F32" t="s">
        <v>21</v>
      </c>
      <c r="G32">
        <f>-G4*G3*(EXP(-1*G7*G3))*NORMSDIST(-G10)</f>
        <v>-10.061535071774021</v>
      </c>
      <c r="J32" t="s">
        <v>21</v>
      </c>
      <c r="K32">
        <f>-K4*K3*(EXP(-1*K7*K3))*NORMSDIST(-K10)</f>
        <v>-1.1684040346239484</v>
      </c>
      <c r="N32" t="s">
        <v>21</v>
      </c>
      <c r="O32">
        <f>-O4*O3*(EXP(-1*O7*O3))*NORMSDIST(-O10)</f>
        <v>-1.1684040346239484</v>
      </c>
    </row>
  </sheetData>
  <mergeCells count="1">
    <mergeCell ref="A1:O1"/>
  </mergeCells>
  <phoneticPr fontId="0" type="noConversion"/>
  <pageMargins left="0.75" right="0.75" top="1" bottom="1" header="0.5" footer="0.5"/>
  <pageSetup orientation="portrait" horizontalDpi="4294967292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L36"/>
  <sheetViews>
    <sheetView workbookViewId="0">
      <selection activeCell="M4" sqref="M4"/>
    </sheetView>
  </sheetViews>
  <sheetFormatPr defaultRowHeight="13.2" x14ac:dyDescent="0.25"/>
  <cols>
    <col min="1" max="1" width="39.33203125" customWidth="1"/>
    <col min="2" max="2" width="11" customWidth="1"/>
    <col min="4" max="4" width="45.88671875" customWidth="1"/>
  </cols>
  <sheetData>
    <row r="1" spans="1:12" ht="28.5" customHeight="1" x14ac:dyDescent="0.4">
      <c r="A1" s="24" t="s">
        <v>22</v>
      </c>
      <c r="B1" s="24"/>
      <c r="C1" s="24"/>
      <c r="E1" s="25" t="s">
        <v>27</v>
      </c>
      <c r="F1" s="25"/>
      <c r="G1" s="25"/>
      <c r="H1" s="25"/>
      <c r="I1" s="25"/>
      <c r="J1" s="12"/>
      <c r="K1" s="12"/>
    </row>
    <row r="2" spans="1:12" ht="28.5" customHeight="1" x14ac:dyDescent="0.25">
      <c r="A2" s="8" t="s">
        <v>26</v>
      </c>
      <c r="B2" s="9">
        <f>E2</f>
        <v>26</v>
      </c>
      <c r="D2" s="19" t="s">
        <v>23</v>
      </c>
      <c r="E2" s="13">
        <v>26</v>
      </c>
      <c r="F2" s="26" t="s">
        <v>28</v>
      </c>
      <c r="G2" s="27"/>
      <c r="H2" s="27"/>
      <c r="I2" s="27"/>
      <c r="J2" s="16"/>
      <c r="K2" s="16"/>
      <c r="L2" s="16"/>
    </row>
    <row r="3" spans="1:12" ht="28.5" customHeight="1" x14ac:dyDescent="0.25">
      <c r="A3" s="8" t="s">
        <v>1</v>
      </c>
      <c r="B3" s="10">
        <f>E3</f>
        <v>280</v>
      </c>
      <c r="D3" s="8"/>
      <c r="E3" s="13">
        <v>280</v>
      </c>
      <c r="F3" s="28" t="s">
        <v>30</v>
      </c>
      <c r="G3" s="29"/>
      <c r="H3" s="29"/>
      <c r="I3" s="29"/>
      <c r="J3" s="16"/>
      <c r="K3" s="16"/>
      <c r="L3" s="16"/>
    </row>
    <row r="4" spans="1:12" ht="28.5" customHeight="1" x14ac:dyDescent="0.25">
      <c r="A4" s="8" t="s">
        <v>2</v>
      </c>
      <c r="B4" s="10">
        <f>E4/100</f>
        <v>283.39999999999998</v>
      </c>
      <c r="D4" s="8" t="s">
        <v>24</v>
      </c>
      <c r="E4" s="14">
        <v>28340</v>
      </c>
      <c r="F4" s="30" t="s">
        <v>29</v>
      </c>
      <c r="G4" s="31"/>
      <c r="H4" s="31"/>
      <c r="I4" s="31"/>
      <c r="J4" s="17"/>
      <c r="K4" s="17"/>
      <c r="L4" s="17"/>
    </row>
    <row r="5" spans="1:12" ht="28.5" customHeight="1" x14ac:dyDescent="0.25">
      <c r="A5" s="8" t="s">
        <v>3</v>
      </c>
      <c r="B5" s="11">
        <f>E5/10000</f>
        <v>0.38700000000000001</v>
      </c>
      <c r="D5" s="8" t="s">
        <v>25</v>
      </c>
      <c r="E5" s="15">
        <v>3870</v>
      </c>
      <c r="F5" s="28" t="s">
        <v>31</v>
      </c>
      <c r="G5" s="29"/>
      <c r="H5" s="29"/>
      <c r="I5" s="29"/>
      <c r="J5" s="16"/>
      <c r="K5" s="16"/>
      <c r="L5" s="16"/>
    </row>
    <row r="6" spans="1:12" ht="28.5" customHeight="1" x14ac:dyDescent="0.25">
      <c r="A6" s="8" t="s">
        <v>4</v>
      </c>
      <c r="B6" s="11">
        <f>E6/10000</f>
        <v>2.1000000000000001E-2</v>
      </c>
      <c r="D6" s="8" t="s">
        <v>25</v>
      </c>
      <c r="E6" s="15">
        <v>210</v>
      </c>
      <c r="F6" s="28" t="s">
        <v>32</v>
      </c>
      <c r="G6" s="29"/>
      <c r="H6" s="29"/>
      <c r="I6" s="29"/>
      <c r="J6" s="16"/>
      <c r="K6" s="16"/>
      <c r="L6" s="16"/>
    </row>
    <row r="8" spans="1:12" x14ac:dyDescent="0.25">
      <c r="A8" t="s">
        <v>8</v>
      </c>
      <c r="B8">
        <f>(LN(B4/B3) + (B6 + 0.5*(B5^2))*(B2/365))/(B5*((B2/365)^0.5))</f>
        <v>0.1829815138067763</v>
      </c>
    </row>
    <row r="9" spans="1:12" x14ac:dyDescent="0.25">
      <c r="A9" t="s">
        <v>9</v>
      </c>
      <c r="B9">
        <f>(B8 - B5*((B2/365)^0.5))</f>
        <v>7.9693195433744549E-2</v>
      </c>
    </row>
    <row r="10" spans="1:12" x14ac:dyDescent="0.25">
      <c r="A10" t="s">
        <v>10</v>
      </c>
      <c r="B10">
        <f>NORMSDIST(B8)</f>
        <v>0.57259373821624093</v>
      </c>
    </row>
    <row r="11" spans="1:12" x14ac:dyDescent="0.25">
      <c r="A11" t="s">
        <v>11</v>
      </c>
      <c r="B11">
        <f>NORMSDIST(B9)</f>
        <v>0.5317593642507028</v>
      </c>
    </row>
    <row r="13" spans="1:12" x14ac:dyDescent="0.25">
      <c r="A13" s="32" t="s">
        <v>35</v>
      </c>
      <c r="B13" s="32"/>
      <c r="D13" s="32" t="s">
        <v>36</v>
      </c>
      <c r="E13" s="32"/>
    </row>
    <row r="14" spans="1:12" x14ac:dyDescent="0.25">
      <c r="A14" t="s">
        <v>6</v>
      </c>
      <c r="B14" s="1">
        <f>(B4*B10)-((B3/(EXP(B6*(B2/365))))*B11)</f>
        <v>13.603003961192314</v>
      </c>
      <c r="D14" t="s">
        <v>7</v>
      </c>
      <c r="E14" s="1">
        <f>(B14 + (B3/(EXP(B6*(B2/365)))) - B4)</f>
        <v>9.7844677663102289</v>
      </c>
    </row>
    <row r="15" spans="1:12" x14ac:dyDescent="0.25">
      <c r="A15" t="s">
        <v>13</v>
      </c>
      <c r="B15" s="1">
        <f>MAX(B4-B3,0)</f>
        <v>3.3999999999999773</v>
      </c>
      <c r="D15" t="s">
        <v>13</v>
      </c>
      <c r="E15" s="1">
        <f>MAX(B3-B4,0)</f>
        <v>0</v>
      </c>
    </row>
    <row r="16" spans="1:12" x14ac:dyDescent="0.25">
      <c r="A16" t="s">
        <v>14</v>
      </c>
      <c r="B16" s="1">
        <f>(B14-B15)</f>
        <v>10.203003961192337</v>
      </c>
      <c r="D16" t="s">
        <v>14</v>
      </c>
      <c r="E16" s="1">
        <f>(E14-E15)</f>
        <v>9.7844677663102289</v>
      </c>
    </row>
    <row r="17" spans="1:5" x14ac:dyDescent="0.25">
      <c r="A17" s="7" t="s">
        <v>33</v>
      </c>
      <c r="B17" s="18">
        <f>B16/B$4</f>
        <v>3.6002131126296182E-2</v>
      </c>
      <c r="D17" s="7" t="s">
        <v>33</v>
      </c>
      <c r="E17" s="18">
        <f>E16/B$4</f>
        <v>3.4525292047671949E-2</v>
      </c>
    </row>
    <row r="18" spans="1:5" x14ac:dyDescent="0.25">
      <c r="A18" s="7" t="s">
        <v>34</v>
      </c>
      <c r="B18" s="1">
        <f>B16/B$2</f>
        <v>0.39242322927662837</v>
      </c>
      <c r="D18" s="7" t="s">
        <v>34</v>
      </c>
      <c r="E18" s="1">
        <f>E16/B$2</f>
        <v>0.37632568331962418</v>
      </c>
    </row>
    <row r="19" spans="1:5" x14ac:dyDescent="0.25">
      <c r="E19" s="1"/>
    </row>
    <row r="20" spans="1:5" x14ac:dyDescent="0.25">
      <c r="A20" t="s">
        <v>17</v>
      </c>
      <c r="B20" s="6">
        <f>B10</f>
        <v>0.57259373821624093</v>
      </c>
      <c r="D20" t="s">
        <v>17</v>
      </c>
      <c r="E20" s="6">
        <f>B10-1</f>
        <v>-0.42740626178375907</v>
      </c>
    </row>
    <row r="21" spans="1:5" x14ac:dyDescent="0.25">
      <c r="A21" t="s">
        <v>18</v>
      </c>
      <c r="B21" s="6">
        <f>((1/(SQRT(2*PI())))*EXP(-1*(((B8^2)/2))))/(B4*B5*SQRT((B2/365)))</f>
        <v>1.3402580929051675E-2</v>
      </c>
      <c r="D21" t="s">
        <v>18</v>
      </c>
      <c r="E21" s="6">
        <f>((1/(SQRT(2*PI())))*EXP(-1*(((B8^2)/2))))/(B4*B5*SQRT((B2/365)))</f>
        <v>1.3402580929051675E-2</v>
      </c>
    </row>
    <row r="22" spans="1:5" x14ac:dyDescent="0.25">
      <c r="A22" t="s">
        <v>19</v>
      </c>
      <c r="B22" s="6">
        <f>(-1*((B4)*((1/(SQRT(2*PI())))*EXP(-1*(((B8^2)/2))))*B5)/(2*SQRT((B2/365)))) - B6*B3*EXP(-B6*(B2/365))*B11</f>
        <v>-83.730427413529</v>
      </c>
      <c r="D22" t="s">
        <v>19</v>
      </c>
      <c r="E22" s="6">
        <f>(-1*((B4)*((1/(SQRT(2*PI())))*EXP(-1*(((B8^2)/2))))*B5)/(2*SQRT((B2/365)))) + B6*B3*EXP(-B6*(B2/365))*NORMSDIST(-B9)</f>
        <v>-77.859216673621518</v>
      </c>
    </row>
    <row r="23" spans="1:5" x14ac:dyDescent="0.25">
      <c r="A23" t="s">
        <v>20</v>
      </c>
      <c r="B23" s="6">
        <f>B4*SQRT((B2/365))*((1/(SQRT(2*PI())))*EXP(-1*(((B8^2)/2))))</f>
        <v>29.674238210335083</v>
      </c>
      <c r="D23" t="s">
        <v>20</v>
      </c>
      <c r="E23" s="6">
        <f>B4*SQRT((B2/365))*((1/(SQRT(2*PI())))*EXP(-1*(((B8^2)/2))))</f>
        <v>29.674238210335083</v>
      </c>
    </row>
    <row r="24" spans="1:5" x14ac:dyDescent="0.25">
      <c r="A24" t="s">
        <v>21</v>
      </c>
      <c r="B24">
        <f>B3*(B2/365)*(EXP(-1*B6*(B2/365)))*B11</f>
        <v>10.590196158031642</v>
      </c>
      <c r="D24" t="s">
        <v>21</v>
      </c>
      <c r="E24">
        <f>-B3*(B2/365)*(EXP(-1*B6*(B2/365)))*NORMSDIST(-B9)</f>
        <v>-9.3251957842507291</v>
      </c>
    </row>
    <row r="25" spans="1:5" x14ac:dyDescent="0.25">
      <c r="A25" s="5"/>
    </row>
    <row r="26" spans="1:5" x14ac:dyDescent="0.25">
      <c r="E26" s="6"/>
    </row>
    <row r="27" spans="1:5" x14ac:dyDescent="0.25">
      <c r="E27" s="6"/>
    </row>
    <row r="28" spans="1:5" x14ac:dyDescent="0.25">
      <c r="E28" s="6"/>
    </row>
    <row r="29" spans="1:5" x14ac:dyDescent="0.25">
      <c r="E29" s="6"/>
    </row>
    <row r="32" spans="1:5" x14ac:dyDescent="0.25">
      <c r="A32" s="5"/>
    </row>
    <row r="33" spans="5:5" x14ac:dyDescent="0.25">
      <c r="E33" s="6"/>
    </row>
    <row r="34" spans="5:5" x14ac:dyDescent="0.25">
      <c r="E34" s="6"/>
    </row>
    <row r="35" spans="5:5" x14ac:dyDescent="0.25">
      <c r="E35" s="6"/>
    </row>
    <row r="36" spans="5:5" x14ac:dyDescent="0.25">
      <c r="E36" s="6"/>
    </row>
  </sheetData>
  <sheetProtection selectLockedCells="1" selectUnlockedCells="1"/>
  <mergeCells count="9">
    <mergeCell ref="F5:I5"/>
    <mergeCell ref="F6:I6"/>
    <mergeCell ref="D13:E13"/>
    <mergeCell ref="A13:B13"/>
    <mergeCell ref="A1:C1"/>
    <mergeCell ref="E1:I1"/>
    <mergeCell ref="F2:I2"/>
    <mergeCell ref="F3:I3"/>
    <mergeCell ref="F4:I4"/>
  </mergeCells>
  <pageMargins left="0.7" right="0.7" top="0.75" bottom="0.75" header="0.3" footer="0.3"/>
  <drawing r:id="rId1"/>
  <legacyDrawing r:id="rId2"/>
  <controls>
    <mc:AlternateContent xmlns:mc="http://schemas.openxmlformats.org/markup-compatibility/2006">
      <mc:Choice Requires="x14">
        <control shapeId="1029" r:id="rId3" name="SpinButton4">
          <controlPr autoLine="0" linkedCell="E6" r:id="rId4">
            <anchor moveWithCells="1">
              <from>
                <xdr:col>2</xdr:col>
                <xdr:colOff>175260</xdr:colOff>
                <xdr:row>5</xdr:row>
                <xdr:rowOff>30480</xdr:rowOff>
              </from>
              <to>
                <xdr:col>2</xdr:col>
                <xdr:colOff>464820</xdr:colOff>
                <xdr:row>5</xdr:row>
                <xdr:rowOff>342900</xdr:rowOff>
              </to>
            </anchor>
          </controlPr>
        </control>
      </mc:Choice>
      <mc:Fallback>
        <control shapeId="1029" r:id="rId3" name="SpinButton4"/>
      </mc:Fallback>
    </mc:AlternateContent>
    <mc:AlternateContent xmlns:mc="http://schemas.openxmlformats.org/markup-compatibility/2006">
      <mc:Choice Requires="x14">
        <control shapeId="1028" r:id="rId5" name="SpinButton3">
          <controlPr autoLine="0" linkedCell="E5" r:id="rId6">
            <anchor moveWithCells="1">
              <from>
                <xdr:col>2</xdr:col>
                <xdr:colOff>152400</xdr:colOff>
                <xdr:row>4</xdr:row>
                <xdr:rowOff>30480</xdr:rowOff>
              </from>
              <to>
                <xdr:col>2</xdr:col>
                <xdr:colOff>419100</xdr:colOff>
                <xdr:row>4</xdr:row>
                <xdr:rowOff>327660</xdr:rowOff>
              </to>
            </anchor>
          </controlPr>
        </control>
      </mc:Choice>
      <mc:Fallback>
        <control shapeId="1028" r:id="rId5" name="SpinButton3"/>
      </mc:Fallback>
    </mc:AlternateContent>
    <mc:AlternateContent xmlns:mc="http://schemas.openxmlformats.org/markup-compatibility/2006">
      <mc:Choice Requires="x14">
        <control shapeId="1027" r:id="rId7" name="SpinButton2">
          <controlPr defaultSize="0" autoLine="0" linkedCell="E4" r:id="rId8">
            <anchor moveWithCells="1">
              <from>
                <xdr:col>2</xdr:col>
                <xdr:colOff>175260</xdr:colOff>
                <xdr:row>3</xdr:row>
                <xdr:rowOff>30480</xdr:rowOff>
              </from>
              <to>
                <xdr:col>2</xdr:col>
                <xdr:colOff>441960</xdr:colOff>
                <xdr:row>3</xdr:row>
                <xdr:rowOff>320040</xdr:rowOff>
              </to>
            </anchor>
          </controlPr>
        </control>
      </mc:Choice>
      <mc:Fallback>
        <control shapeId="1027" r:id="rId7" name="SpinButton2"/>
      </mc:Fallback>
    </mc:AlternateContent>
    <mc:AlternateContent xmlns:mc="http://schemas.openxmlformats.org/markup-compatibility/2006">
      <mc:Choice Requires="x14">
        <control shapeId="1025" r:id="rId9" name="SpinButton1">
          <controlPr defaultSize="0" autoLine="0" linkedCell="E2" r:id="rId10">
            <anchor moveWithCells="1">
              <from>
                <xdr:col>2</xdr:col>
                <xdr:colOff>175260</xdr:colOff>
                <xdr:row>1</xdr:row>
                <xdr:rowOff>30480</xdr:rowOff>
              </from>
              <to>
                <xdr:col>2</xdr:col>
                <xdr:colOff>449580</xdr:colOff>
                <xdr:row>1</xdr:row>
                <xdr:rowOff>327660</xdr:rowOff>
              </to>
            </anchor>
          </controlPr>
        </control>
      </mc:Choice>
      <mc:Fallback>
        <control shapeId="1025" r:id="rId9" name="Spin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67"/>
  <sheetViews>
    <sheetView workbookViewId="0">
      <selection activeCell="C34" sqref="C34"/>
    </sheetView>
  </sheetViews>
  <sheetFormatPr defaultRowHeight="13.2" x14ac:dyDescent="0.25"/>
  <cols>
    <col min="1" max="1" width="28.88671875" customWidth="1"/>
    <col min="2" max="2" width="10.5546875" customWidth="1"/>
    <col min="3" max="3" width="13.33203125" customWidth="1"/>
    <col min="4" max="4" width="42.6640625" customWidth="1"/>
    <col min="5" max="5" width="11.6640625" customWidth="1"/>
    <col min="7" max="7" width="13.44140625" customWidth="1"/>
    <col min="8" max="8" width="10.88671875" customWidth="1"/>
    <col min="9" max="9" width="13.109375" customWidth="1"/>
    <col min="10" max="10" width="13.33203125" customWidth="1"/>
    <col min="11" max="11" width="11.88671875" customWidth="1"/>
    <col min="12" max="15" width="8.5546875" customWidth="1"/>
  </cols>
  <sheetData>
    <row r="1" spans="1:9" ht="23.25" customHeight="1" x14ac:dyDescent="0.4">
      <c r="A1" s="25" t="s">
        <v>49</v>
      </c>
      <c r="B1" s="25"/>
      <c r="C1" s="25"/>
      <c r="E1" s="25" t="s">
        <v>48</v>
      </c>
      <c r="F1" s="25"/>
      <c r="G1" s="25"/>
      <c r="H1" s="25"/>
      <c r="I1" s="22"/>
    </row>
    <row r="2" spans="1:9" ht="31.5" customHeight="1" x14ac:dyDescent="0.25">
      <c r="A2" t="s">
        <v>37</v>
      </c>
      <c r="B2" s="9">
        <f>E2</f>
        <v>40</v>
      </c>
      <c r="D2" s="19" t="s">
        <v>23</v>
      </c>
      <c r="E2" s="13">
        <v>40</v>
      </c>
      <c r="F2" s="26" t="s">
        <v>28</v>
      </c>
      <c r="G2" s="27"/>
      <c r="H2" s="27"/>
      <c r="I2" s="27"/>
    </row>
    <row r="3" spans="1:9" ht="31.5" customHeight="1" x14ac:dyDescent="0.3">
      <c r="A3" s="7" t="s">
        <v>38</v>
      </c>
      <c r="B3" s="11">
        <f>E3/10000</f>
        <v>0.35499999999999998</v>
      </c>
      <c r="D3" s="8" t="s">
        <v>25</v>
      </c>
      <c r="E3" s="15">
        <v>3550</v>
      </c>
      <c r="F3" s="28" t="s">
        <v>31</v>
      </c>
      <c r="G3" s="29"/>
      <c r="H3" s="29"/>
      <c r="I3" s="29"/>
    </row>
    <row r="4" spans="1:9" ht="31.5" customHeight="1" x14ac:dyDescent="0.25">
      <c r="A4" s="7" t="s">
        <v>4</v>
      </c>
      <c r="B4" s="11">
        <f>E4/10000</f>
        <v>0.01</v>
      </c>
      <c r="D4" s="8" t="s">
        <v>25</v>
      </c>
      <c r="E4" s="15">
        <v>100</v>
      </c>
      <c r="F4" s="28" t="s">
        <v>32</v>
      </c>
      <c r="G4" s="29"/>
      <c r="H4" s="29"/>
      <c r="I4" s="29"/>
    </row>
    <row r="44" spans="1:15" x14ac:dyDescent="0.25">
      <c r="A44" s="7" t="s">
        <v>39</v>
      </c>
      <c r="B44">
        <v>50</v>
      </c>
    </row>
    <row r="45" spans="1:15" x14ac:dyDescent="0.25">
      <c r="A45" s="7"/>
      <c r="C45" s="33" t="s">
        <v>40</v>
      </c>
      <c r="D45" s="33"/>
      <c r="I45" s="33" t="s">
        <v>41</v>
      </c>
      <c r="J45" s="33"/>
      <c r="L45" s="20"/>
      <c r="M45" s="20"/>
    </row>
    <row r="46" spans="1:15" x14ac:dyDescent="0.25">
      <c r="A46" s="7"/>
      <c r="B46" s="7" t="s">
        <v>12</v>
      </c>
      <c r="C46" s="20" t="s">
        <v>47</v>
      </c>
      <c r="D46" s="20" t="s">
        <v>46</v>
      </c>
      <c r="H46" s="7" t="s">
        <v>12</v>
      </c>
      <c r="I46" s="7" t="s">
        <v>42</v>
      </c>
      <c r="J46" s="7" t="s">
        <v>43</v>
      </c>
      <c r="L46" s="7" t="s">
        <v>8</v>
      </c>
      <c r="M46" s="7" t="s">
        <v>9</v>
      </c>
      <c r="N46" s="7" t="s">
        <v>44</v>
      </c>
      <c r="O46" s="7" t="s">
        <v>45</v>
      </c>
    </row>
    <row r="47" spans="1:15" x14ac:dyDescent="0.25">
      <c r="B47">
        <v>40</v>
      </c>
      <c r="C47">
        <f>MAX(B47-$B$44,0)</f>
        <v>0</v>
      </c>
      <c r="D47" s="1">
        <f>(B47*N47)-(($B$44/(EXP($B$4*($B$2/365))))*O47)</f>
        <v>5.9597789158691405E-2</v>
      </c>
      <c r="H47">
        <v>40</v>
      </c>
      <c r="I47">
        <f>MAX($B$44-H47,0)</f>
        <v>10</v>
      </c>
      <c r="J47" s="1">
        <f>(D47 + ($B$44/(EXP($B$4*($B$2/365)))) - H47)</f>
        <v>10.004833282040757</v>
      </c>
      <c r="L47">
        <f>(LN(B47/B$44) + ($B$4+ 0.5*($B$3^2))*($B$2/365))/($B$3*(($B$2/365)^0.5))</f>
        <v>-1.8306851192494558</v>
      </c>
      <c r="M47" s="21">
        <f>L47-($B$3)*(($B$2/365)^0.5)</f>
        <v>-1.948205155430992</v>
      </c>
      <c r="N47">
        <f>NORMSDIST(L47)</f>
        <v>3.3573777716026966E-2</v>
      </c>
      <c r="O47">
        <f>NORMSDIST(M47)</f>
        <v>2.5695210099976083E-2</v>
      </c>
    </row>
    <row r="48" spans="1:15" x14ac:dyDescent="0.25">
      <c r="A48" s="7"/>
      <c r="B48">
        <v>41</v>
      </c>
      <c r="C48">
        <f t="shared" ref="C48:C67" si="0">MAX(B48-$B$44,0)</f>
        <v>0</v>
      </c>
      <c r="D48" s="1">
        <f t="shared" ref="D48:D67" si="1">(B48*N48)-(($B$44/(EXP($B$4*($B$2/365))))*O48)</f>
        <v>0.10212968107554632</v>
      </c>
      <c r="G48" s="7"/>
      <c r="H48">
        <v>41</v>
      </c>
      <c r="I48">
        <f t="shared" ref="I48:I67" si="2">MAX($B$44-H48,0)</f>
        <v>9</v>
      </c>
      <c r="J48" s="1">
        <f t="shared" ref="J48:J67" si="3">(D48 + ($B$44/(EXP($B$4*($B$2/365)))) - H48)</f>
        <v>9.0473651739576084</v>
      </c>
      <c r="L48">
        <f t="shared" ref="L48:L67" si="4">(LN(B48/B$44) + ($B$4+ 0.5*($B$3^2))*($B$2/365))/($B$3*(($B$2/365)^0.5))</f>
        <v>-1.6205710536595841</v>
      </c>
      <c r="M48" s="21">
        <f t="shared" ref="M48:M67" si="5">L48-($B$3)*(($B$2/365)^0.5)</f>
        <v>-1.7380910898411204</v>
      </c>
      <c r="N48">
        <f t="shared" ref="N48:N67" si="6">NORMSDIST(L48)</f>
        <v>5.2554832187128225E-2</v>
      </c>
      <c r="O48">
        <f t="shared" ref="O48:O67" si="7">NORMSDIST(M48)</f>
        <v>4.1097382329676656E-2</v>
      </c>
    </row>
    <row r="49" spans="1:15" x14ac:dyDescent="0.25">
      <c r="A49" s="7"/>
      <c r="B49">
        <v>42</v>
      </c>
      <c r="C49">
        <f t="shared" si="0"/>
        <v>0</v>
      </c>
      <c r="D49" s="1">
        <f t="shared" si="1"/>
        <v>0.16701816043642648</v>
      </c>
      <c r="G49" s="7"/>
      <c r="H49">
        <v>42</v>
      </c>
      <c r="I49">
        <f t="shared" si="2"/>
        <v>8</v>
      </c>
      <c r="J49" s="1">
        <f t="shared" si="3"/>
        <v>8.1122536533184899</v>
      </c>
      <c r="L49">
        <f t="shared" si="4"/>
        <v>-1.4155204736730667</v>
      </c>
      <c r="M49" s="21">
        <f t="shared" si="5"/>
        <v>-1.5330405098546029</v>
      </c>
      <c r="N49">
        <f t="shared" si="6"/>
        <v>7.8457974940281144E-2</v>
      </c>
      <c r="O49">
        <f t="shared" si="7"/>
        <v>6.2632936979568329E-2</v>
      </c>
    </row>
    <row r="50" spans="1:15" x14ac:dyDescent="0.25">
      <c r="A50" s="7"/>
      <c r="B50">
        <v>43</v>
      </c>
      <c r="C50">
        <f t="shared" si="0"/>
        <v>0</v>
      </c>
      <c r="D50" s="1">
        <f t="shared" si="1"/>
        <v>0.26163940373181482</v>
      </c>
      <c r="G50" s="7"/>
      <c r="H50">
        <v>43</v>
      </c>
      <c r="I50">
        <f t="shared" si="2"/>
        <v>7</v>
      </c>
      <c r="J50" s="1">
        <f t="shared" si="3"/>
        <v>7.2068748966138756</v>
      </c>
      <c r="L50">
        <f t="shared" si="4"/>
        <v>-1.2152950638217117</v>
      </c>
      <c r="M50" s="21">
        <f t="shared" si="5"/>
        <v>-1.332815100003248</v>
      </c>
      <c r="N50">
        <f t="shared" si="6"/>
        <v>0.11212678695221112</v>
      </c>
      <c r="O50">
        <f t="shared" si="7"/>
        <v>9.12962445809892E-2</v>
      </c>
    </row>
    <row r="51" spans="1:15" x14ac:dyDescent="0.25">
      <c r="A51" s="7"/>
      <c r="B51">
        <v>44</v>
      </c>
      <c r="C51">
        <f t="shared" si="0"/>
        <v>0</v>
      </c>
      <c r="D51" s="1">
        <f t="shared" si="1"/>
        <v>0.39399362745424327</v>
      </c>
      <c r="G51" s="7"/>
      <c r="H51">
        <v>44</v>
      </c>
      <c r="I51">
        <f t="shared" si="2"/>
        <v>6</v>
      </c>
      <c r="J51" s="1">
        <f t="shared" si="3"/>
        <v>6.3392291203363058</v>
      </c>
      <c r="L51">
        <f t="shared" si="4"/>
        <v>-1.0196729471880319</v>
      </c>
      <c r="M51" s="21">
        <f t="shared" si="5"/>
        <v>-1.1371929833695682</v>
      </c>
      <c r="N51">
        <f t="shared" si="6"/>
        <v>0.15394179798038735</v>
      </c>
      <c r="O51">
        <f t="shared" si="7"/>
        <v>0.12772880977990314</v>
      </c>
    </row>
    <row r="52" spans="1:15" x14ac:dyDescent="0.25">
      <c r="A52" s="7"/>
      <c r="B52">
        <v>45</v>
      </c>
      <c r="C52">
        <f t="shared" si="0"/>
        <v>0</v>
      </c>
      <c r="D52" s="1">
        <f t="shared" si="1"/>
        <v>0.57218049968338036</v>
      </c>
      <c r="G52" s="7"/>
      <c r="H52">
        <v>45</v>
      </c>
      <c r="I52">
        <f t="shared" si="2"/>
        <v>5</v>
      </c>
      <c r="J52" s="1">
        <f t="shared" si="3"/>
        <v>5.5174159925654465</v>
      </c>
      <c r="L52">
        <f t="shared" si="4"/>
        <v>-0.82844720745677269</v>
      </c>
      <c r="M52" s="21">
        <f t="shared" si="5"/>
        <v>-0.94596724363830897</v>
      </c>
      <c r="N52">
        <f t="shared" si="6"/>
        <v>0.20370864053032858</v>
      </c>
      <c r="O52">
        <f t="shared" si="7"/>
        <v>0.17208264691046016</v>
      </c>
    </row>
    <row r="53" spans="1:15" x14ac:dyDescent="0.25">
      <c r="A53" s="7"/>
      <c r="B53">
        <v>46</v>
      </c>
      <c r="C53">
        <f t="shared" si="0"/>
        <v>0</v>
      </c>
      <c r="D53" s="1">
        <f t="shared" si="1"/>
        <v>0.80379986835252915</v>
      </c>
      <c r="G53" s="7"/>
      <c r="H53">
        <v>46</v>
      </c>
      <c r="I53">
        <f t="shared" si="2"/>
        <v>4</v>
      </c>
      <c r="J53" s="1">
        <f t="shared" si="3"/>
        <v>4.7490353612345899</v>
      </c>
      <c r="L53">
        <f t="shared" si="4"/>
        <v>-0.64142457341993597</v>
      </c>
      <c r="M53" s="21">
        <f t="shared" si="5"/>
        <v>-0.75894460960147225</v>
      </c>
      <c r="N53">
        <f t="shared" si="6"/>
        <v>0.2606234358230195</v>
      </c>
      <c r="O53">
        <f t="shared" si="7"/>
        <v>0.22394284598178296</v>
      </c>
    </row>
    <row r="54" spans="1:15" x14ac:dyDescent="0.25">
      <c r="A54" s="7"/>
      <c r="B54">
        <v>47</v>
      </c>
      <c r="C54">
        <f t="shared" si="0"/>
        <v>0</v>
      </c>
      <c r="D54" s="1">
        <f t="shared" si="1"/>
        <v>1.0953607698547785</v>
      </c>
      <c r="G54" s="7"/>
      <c r="H54">
        <v>47</v>
      </c>
      <c r="I54">
        <f t="shared" si="2"/>
        <v>3</v>
      </c>
      <c r="J54" s="1">
        <f t="shared" si="3"/>
        <v>4.040596262736841</v>
      </c>
      <c r="L54">
        <f t="shared" si="4"/>
        <v>-0.45842424496749828</v>
      </c>
      <c r="M54" s="21">
        <f t="shared" si="5"/>
        <v>-0.57594428114903451</v>
      </c>
      <c r="N54">
        <f t="shared" si="6"/>
        <v>0.32332383820691024</v>
      </c>
      <c r="O54">
        <f t="shared" si="7"/>
        <v>0.28232642186419532</v>
      </c>
    </row>
    <row r="55" spans="1:15" x14ac:dyDescent="0.25">
      <c r="A55" s="7"/>
      <c r="B55">
        <v>48</v>
      </c>
      <c r="C55">
        <f t="shared" si="0"/>
        <v>0</v>
      </c>
      <c r="D55" s="1">
        <f t="shared" si="1"/>
        <v>1.4517810219206631</v>
      </c>
      <c r="G55" s="7"/>
      <c r="H55">
        <v>48</v>
      </c>
      <c r="I55">
        <f t="shared" si="2"/>
        <v>2</v>
      </c>
      <c r="J55" s="1">
        <f t="shared" si="3"/>
        <v>3.3970165148027291</v>
      </c>
      <c r="L55">
        <f t="shared" si="4"/>
        <v>-0.2792768426870002</v>
      </c>
      <c r="M55" s="21">
        <f t="shared" si="5"/>
        <v>-0.39679687886853643</v>
      </c>
      <c r="N55">
        <f t="shared" si="6"/>
        <v>0.39001618820271616</v>
      </c>
      <c r="O55">
        <f t="shared" si="7"/>
        <v>0.3457586262511626</v>
      </c>
    </row>
    <row r="56" spans="1:15" x14ac:dyDescent="0.25">
      <c r="A56" s="7"/>
      <c r="B56">
        <v>49</v>
      </c>
      <c r="C56">
        <f t="shared" si="0"/>
        <v>0</v>
      </c>
      <c r="D56" s="1">
        <f t="shared" si="1"/>
        <v>1.8760424420924053</v>
      </c>
      <c r="G56" s="7"/>
      <c r="H56">
        <v>49</v>
      </c>
      <c r="I56">
        <f t="shared" si="2"/>
        <v>1</v>
      </c>
      <c r="J56" s="1">
        <f t="shared" si="3"/>
        <v>2.8212779349744679</v>
      </c>
      <c r="L56">
        <f t="shared" si="4"/>
        <v>-0.10382346577615111</v>
      </c>
      <c r="M56" s="21">
        <f t="shared" si="5"/>
        <v>-0.22134350195768734</v>
      </c>
      <c r="N56">
        <f t="shared" si="6"/>
        <v>0.45865472205311697</v>
      </c>
      <c r="O56">
        <f t="shared" si="7"/>
        <v>0.41241249010520442</v>
      </c>
    </row>
    <row r="57" spans="1:15" x14ac:dyDescent="0.25">
      <c r="A57" s="7"/>
      <c r="B57">
        <v>50</v>
      </c>
      <c r="C57">
        <f t="shared" si="0"/>
        <v>0</v>
      </c>
      <c r="D57" s="1">
        <f t="shared" si="1"/>
        <v>2.3690381836594483</v>
      </c>
      <c r="G57" s="7"/>
      <c r="H57">
        <v>50</v>
      </c>
      <c r="I57">
        <f t="shared" si="2"/>
        <v>0</v>
      </c>
      <c r="J57" s="1">
        <f t="shared" si="3"/>
        <v>2.3142736765415108</v>
      </c>
      <c r="L57">
        <f t="shared" si="4"/>
        <v>6.8085154863752551E-2</v>
      </c>
      <c r="M57" s="21">
        <f t="shared" si="5"/>
        <v>-4.9434881317783688E-2</v>
      </c>
      <c r="N57">
        <f t="shared" si="6"/>
        <v>0.52714107618213379</v>
      </c>
      <c r="O57">
        <f t="shared" si="7"/>
        <v>0.48028636543051018</v>
      </c>
    </row>
    <row r="58" spans="1:15" x14ac:dyDescent="0.25">
      <c r="A58" s="7"/>
      <c r="B58">
        <v>51</v>
      </c>
      <c r="C58">
        <f t="shared" si="0"/>
        <v>1</v>
      </c>
      <c r="D58" s="1">
        <f t="shared" si="1"/>
        <v>2.9296163059954807</v>
      </c>
      <c r="G58" s="7"/>
      <c r="H58">
        <v>51</v>
      </c>
      <c r="I58">
        <f t="shared" si="2"/>
        <v>0</v>
      </c>
      <c r="J58" s="1">
        <f t="shared" si="3"/>
        <v>1.8748517988775433</v>
      </c>
      <c r="L58">
        <f t="shared" si="4"/>
        <v>0.23658941966494865</v>
      </c>
      <c r="M58" s="21">
        <f t="shared" si="5"/>
        <v>0.11906938348341241</v>
      </c>
      <c r="N58">
        <f t="shared" si="6"/>
        <v>0.59351233545606741</v>
      </c>
      <c r="O58">
        <f t="shared" si="7"/>
        <v>0.54738980670459036</v>
      </c>
    </row>
    <row r="59" spans="1:15" x14ac:dyDescent="0.25">
      <c r="A59" s="7"/>
      <c r="B59">
        <v>52</v>
      </c>
      <c r="C59">
        <f t="shared" si="0"/>
        <v>2</v>
      </c>
      <c r="D59" s="1">
        <f t="shared" si="1"/>
        <v>3.5547947293240405</v>
      </c>
      <c r="G59" s="7"/>
      <c r="H59">
        <v>52</v>
      </c>
      <c r="I59">
        <f t="shared" si="2"/>
        <v>0</v>
      </c>
      <c r="J59" s="1">
        <f t="shared" si="3"/>
        <v>1.5000302222061066</v>
      </c>
      <c r="L59">
        <f t="shared" si="4"/>
        <v>0.40182154933436076</v>
      </c>
      <c r="M59" s="21">
        <f t="shared" si="5"/>
        <v>0.28430151315282454</v>
      </c>
      <c r="N59">
        <f t="shared" si="6"/>
        <v>0.65609231914067956</v>
      </c>
      <c r="O59">
        <f t="shared" si="7"/>
        <v>0.6119103366795986</v>
      </c>
    </row>
    <row r="60" spans="1:15" x14ac:dyDescent="0.25">
      <c r="A60" s="7"/>
      <c r="B60">
        <v>53</v>
      </c>
      <c r="C60">
        <f t="shared" si="0"/>
        <v>3</v>
      </c>
      <c r="D60" s="1">
        <f t="shared" si="1"/>
        <v>4.240102340043336</v>
      </c>
      <c r="G60" s="7"/>
      <c r="H60">
        <v>53</v>
      </c>
      <c r="I60">
        <f t="shared" si="2"/>
        <v>0</v>
      </c>
      <c r="J60" s="1">
        <f t="shared" si="3"/>
        <v>1.1853378329253985</v>
      </c>
      <c r="L60">
        <f t="shared" si="4"/>
        <v>0.56390620816879355</v>
      </c>
      <c r="M60" s="21">
        <f t="shared" si="5"/>
        <v>0.44638617198725733</v>
      </c>
      <c r="N60">
        <f t="shared" si="6"/>
        <v>0.71359101760239296</v>
      </c>
      <c r="O60">
        <f t="shared" si="7"/>
        <v>0.67234084015219375</v>
      </c>
    </row>
    <row r="61" spans="1:15" x14ac:dyDescent="0.25">
      <c r="A61" s="7"/>
      <c r="B61">
        <v>54</v>
      </c>
      <c r="C61">
        <f t="shared" si="0"/>
        <v>4</v>
      </c>
      <c r="D61" s="1">
        <f t="shared" si="1"/>
        <v>4.979991478442976</v>
      </c>
      <c r="G61" s="7"/>
      <c r="H61">
        <v>54</v>
      </c>
      <c r="I61">
        <f t="shared" si="2"/>
        <v>0</v>
      </c>
      <c r="J61" s="1">
        <f t="shared" si="3"/>
        <v>0.92522697132503851</v>
      </c>
      <c r="L61">
        <f t="shared" si="4"/>
        <v>0.72296106910568392</v>
      </c>
      <c r="M61" s="21">
        <f t="shared" si="5"/>
        <v>0.60544103292414764</v>
      </c>
      <c r="N61">
        <f t="shared" si="6"/>
        <v>0.76514809871888045</v>
      </c>
      <c r="O61">
        <f t="shared" si="7"/>
        <v>0.72755700306098814</v>
      </c>
    </row>
    <row r="62" spans="1:15" x14ac:dyDescent="0.25">
      <c r="A62" s="7"/>
      <c r="B62">
        <v>55</v>
      </c>
      <c r="C62">
        <f t="shared" si="0"/>
        <v>5</v>
      </c>
      <c r="D62" s="1">
        <f t="shared" si="1"/>
        <v>5.7682678469673263</v>
      </c>
      <c r="G62" s="7"/>
      <c r="H62">
        <v>55</v>
      </c>
      <c r="I62">
        <f t="shared" si="2"/>
        <v>0</v>
      </c>
      <c r="J62" s="1">
        <f t="shared" si="3"/>
        <v>0.71350333984938885</v>
      </c>
      <c r="L62">
        <f t="shared" si="4"/>
        <v>0.87909732692517728</v>
      </c>
      <c r="M62" s="21">
        <f t="shared" si="5"/>
        <v>0.761577290743641</v>
      </c>
      <c r="N62">
        <f t="shared" si="6"/>
        <v>0.81032574650630096</v>
      </c>
      <c r="O62">
        <f t="shared" si="7"/>
        <v>0.77684383361069054</v>
      </c>
    </row>
    <row r="63" spans="1:15" x14ac:dyDescent="0.25">
      <c r="A63" s="7"/>
      <c r="B63">
        <v>56</v>
      </c>
      <c r="C63">
        <f t="shared" si="0"/>
        <v>6</v>
      </c>
      <c r="D63" s="1">
        <f t="shared" si="1"/>
        <v>6.5984925493792304</v>
      </c>
      <c r="G63" s="7"/>
      <c r="H63">
        <v>56</v>
      </c>
      <c r="I63">
        <f t="shared" si="2"/>
        <v>0</v>
      </c>
      <c r="J63" s="1">
        <f t="shared" si="3"/>
        <v>0.5437280422612929</v>
      </c>
      <c r="L63">
        <f t="shared" si="4"/>
        <v>1.0324201652099161</v>
      </c>
      <c r="M63" s="21">
        <f t="shared" si="5"/>
        <v>0.9149001290283798</v>
      </c>
      <c r="N63">
        <f t="shared" si="6"/>
        <v>0.849062335327601</v>
      </c>
      <c r="O63">
        <f t="shared" si="7"/>
        <v>0.81987796883653219</v>
      </c>
    </row>
    <row r="64" spans="1:15" x14ac:dyDescent="0.25">
      <c r="A64" s="7"/>
      <c r="B64">
        <v>57</v>
      </c>
      <c r="C64">
        <f t="shared" si="0"/>
        <v>7</v>
      </c>
      <c r="D64" s="1">
        <f t="shared" si="1"/>
        <v>7.4643241379512233</v>
      </c>
      <c r="G64" s="7"/>
      <c r="H64">
        <v>57</v>
      </c>
      <c r="I64">
        <f t="shared" si="2"/>
        <v>0</v>
      </c>
      <c r="J64" s="1">
        <f t="shared" si="3"/>
        <v>0.40955963083328584</v>
      </c>
      <c r="L64">
        <f t="shared" si="4"/>
        <v>1.1830291819741701</v>
      </c>
      <c r="M64" s="21">
        <f t="shared" si="5"/>
        <v>1.0655091457926338</v>
      </c>
      <c r="N64">
        <f t="shared" si="6"/>
        <v>0.88160120887772309</v>
      </c>
      <c r="O64">
        <f t="shared" si="7"/>
        <v>0.85667720545990356</v>
      </c>
    </row>
    <row r="65" spans="1:15" x14ac:dyDescent="0.25">
      <c r="A65" s="7"/>
      <c r="B65">
        <v>58</v>
      </c>
      <c r="C65">
        <f t="shared" si="0"/>
        <v>8</v>
      </c>
      <c r="D65" s="1">
        <f t="shared" si="1"/>
        <v>8.3597829072584133</v>
      </c>
      <c r="G65" s="7"/>
      <c r="H65">
        <v>58</v>
      </c>
      <c r="I65">
        <f t="shared" si="2"/>
        <v>0</v>
      </c>
      <c r="J65" s="1">
        <f t="shared" si="3"/>
        <v>0.30501840014047588</v>
      </c>
      <c r="L65">
        <f t="shared" si="4"/>
        <v>1.3310187782758913</v>
      </c>
      <c r="M65" s="21">
        <f t="shared" si="5"/>
        <v>1.213498742094355</v>
      </c>
      <c r="N65">
        <f t="shared" si="6"/>
        <v>0.90840858391031976</v>
      </c>
      <c r="O65">
        <f t="shared" si="7"/>
        <v>0.88753040249169546</v>
      </c>
    </row>
    <row r="66" spans="1:15" x14ac:dyDescent="0.25">
      <c r="A66" s="7"/>
      <c r="B66">
        <v>59</v>
      </c>
      <c r="C66">
        <f t="shared" si="0"/>
        <v>9</v>
      </c>
      <c r="D66" s="1">
        <f t="shared" si="1"/>
        <v>9.279432654187687</v>
      </c>
      <c r="G66" s="7"/>
      <c r="H66">
        <v>59</v>
      </c>
      <c r="I66">
        <f t="shared" si="2"/>
        <v>0</v>
      </c>
      <c r="J66" s="1">
        <f t="shared" si="3"/>
        <v>0.22466814706974958</v>
      </c>
      <c r="L66">
        <f t="shared" si="4"/>
        <v>1.4764785136089702</v>
      </c>
      <c r="M66" s="21">
        <f t="shared" si="5"/>
        <v>1.3589584774274339</v>
      </c>
      <c r="N66">
        <f t="shared" si="6"/>
        <v>0.93009226041676329</v>
      </c>
      <c r="O66">
        <f t="shared" si="7"/>
        <v>0.91292012662347843</v>
      </c>
    </row>
    <row r="67" spans="1:15" x14ac:dyDescent="0.25">
      <c r="A67" s="7"/>
      <c r="B67">
        <v>60</v>
      </c>
      <c r="C67">
        <f t="shared" si="0"/>
        <v>10</v>
      </c>
      <c r="D67" s="1">
        <f t="shared" si="1"/>
        <v>10.218485157585896</v>
      </c>
      <c r="G67" s="7"/>
      <c r="H67">
        <v>60</v>
      </c>
      <c r="I67">
        <f t="shared" si="2"/>
        <v>0</v>
      </c>
      <c r="J67" s="1">
        <f t="shared" si="3"/>
        <v>0.16372065046795825</v>
      </c>
      <c r="L67">
        <f t="shared" si="4"/>
        <v>1.6194934314262084</v>
      </c>
      <c r="M67" s="21">
        <f t="shared" si="5"/>
        <v>1.5019733952446721</v>
      </c>
      <c r="N67">
        <f t="shared" si="6"/>
        <v>0.94732943067473874</v>
      </c>
      <c r="O67">
        <f t="shared" si="7"/>
        <v>0.93344801006179368</v>
      </c>
    </row>
  </sheetData>
  <mergeCells count="7">
    <mergeCell ref="I45:J45"/>
    <mergeCell ref="C45:D45"/>
    <mergeCell ref="E1:H1"/>
    <mergeCell ref="A1:C1"/>
    <mergeCell ref="F2:I2"/>
    <mergeCell ref="F3:I3"/>
    <mergeCell ref="F4:I4"/>
  </mergeCells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5121" r:id="rId4" name="SpinButton1">
          <controlPr autoLine="0" linkedCell="E2" r:id="rId5">
            <anchor moveWithCells="1">
              <from>
                <xdr:col>2</xdr:col>
                <xdr:colOff>160020</xdr:colOff>
                <xdr:row>1</xdr:row>
                <xdr:rowOff>45720</xdr:rowOff>
              </from>
              <to>
                <xdr:col>2</xdr:col>
                <xdr:colOff>449580</xdr:colOff>
                <xdr:row>1</xdr:row>
                <xdr:rowOff>373380</xdr:rowOff>
              </to>
            </anchor>
          </controlPr>
        </control>
      </mc:Choice>
      <mc:Fallback>
        <control shapeId="5121" r:id="rId4" name="SpinButton1"/>
      </mc:Fallback>
    </mc:AlternateContent>
    <mc:AlternateContent xmlns:mc="http://schemas.openxmlformats.org/markup-compatibility/2006">
      <mc:Choice Requires="x14">
        <control shapeId="5122" r:id="rId6" name="SpinButton2">
          <controlPr autoLine="0" linkedCell="E3" r:id="rId7">
            <anchor moveWithCells="1">
              <from>
                <xdr:col>2</xdr:col>
                <xdr:colOff>160020</xdr:colOff>
                <xdr:row>2</xdr:row>
                <xdr:rowOff>38100</xdr:rowOff>
              </from>
              <to>
                <xdr:col>2</xdr:col>
                <xdr:colOff>449580</xdr:colOff>
                <xdr:row>2</xdr:row>
                <xdr:rowOff>350520</xdr:rowOff>
              </to>
            </anchor>
          </controlPr>
        </control>
      </mc:Choice>
      <mc:Fallback>
        <control shapeId="5122" r:id="rId6" name="SpinButton2"/>
      </mc:Fallback>
    </mc:AlternateContent>
    <mc:AlternateContent xmlns:mc="http://schemas.openxmlformats.org/markup-compatibility/2006">
      <mc:Choice Requires="x14">
        <control shapeId="5123" r:id="rId8" name="SpinButton3">
          <controlPr autoLine="0" linkedCell="E4" r:id="rId5">
            <anchor moveWithCells="1">
              <from>
                <xdr:col>2</xdr:col>
                <xdr:colOff>160020</xdr:colOff>
                <xdr:row>3</xdr:row>
                <xdr:rowOff>45720</xdr:rowOff>
              </from>
              <to>
                <xdr:col>2</xdr:col>
                <xdr:colOff>449580</xdr:colOff>
                <xdr:row>3</xdr:row>
                <xdr:rowOff>373380</xdr:rowOff>
              </to>
            </anchor>
          </controlPr>
        </control>
      </mc:Choice>
      <mc:Fallback>
        <control shapeId="5123" r:id="rId8" name="SpinButton3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BS OPM - Generic</vt:lpstr>
      <vt:lpstr>BS OPM Spin</vt:lpstr>
      <vt:lpstr>Prior vs At Expiration</vt:lpstr>
    </vt:vector>
  </TitlesOfParts>
  <Company>Pittsburg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Bracker</dc:creator>
  <cp:lastModifiedBy>Kevin Bracker</cp:lastModifiedBy>
  <dcterms:created xsi:type="dcterms:W3CDTF">1999-04-08T16:41:47Z</dcterms:created>
  <dcterms:modified xsi:type="dcterms:W3CDTF">2021-11-30T19:40:26Z</dcterms:modified>
</cp:coreProperties>
</file>