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https://d.docs.live.net/6ef7f2941905a987/Desktop/Investments II/"/>
    </mc:Choice>
  </mc:AlternateContent>
  <xr:revisionPtr revIDLastSave="3" documentId="14_{D588142E-B114-4177-9DE4-B6E4E03368B3}" xr6:coauthVersionLast="47" xr6:coauthVersionMax="47" xr10:uidLastSave="{0AFAC427-C202-4BE9-8701-CDC3DC76F2D8}"/>
  <bookViews>
    <workbookView xWindow="-108" yWindow="-108" windowWidth="23256" windowHeight="12456" xr2:uid="{00000000-000D-0000-FFFF-FFFF00000000}"/>
  </bookViews>
  <sheets>
    <sheet name="Duration" sheetId="10" r:id="rId1"/>
    <sheet name="Immunization" sheetId="11" r:id="rId2"/>
    <sheet name="Convexity Cover" sheetId="9" r:id="rId3"/>
    <sheet name="Convexity Calculations" sheetId="1" r:id="rId4"/>
    <sheet name="5 Year 14% Coupon" sheetId="4" r:id="rId5"/>
    <sheet name="5 Year 6% Coupon" sheetId="5" r:id="rId6"/>
    <sheet name="30 Year 14% Coupon" sheetId="6" r:id="rId7"/>
    <sheet name="30 Year 6% Coupon" sheetId="7"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 i="11" l="1"/>
  <c r="C6" i="11" s="1"/>
  <c r="D8" i="11" s="1"/>
  <c r="F8" i="11" s="1"/>
  <c r="B11" i="11"/>
  <c r="I11" i="11" s="1"/>
  <c r="J11" i="11" s="1"/>
  <c r="B12" i="11"/>
  <c r="I12" i="11" s="1"/>
  <c r="J12" i="11" s="1"/>
  <c r="C12" i="11"/>
  <c r="D12" i="11" s="1"/>
  <c r="E12" i="11" s="1"/>
  <c r="B13" i="11"/>
  <c r="I13" i="11" s="1"/>
  <c r="J13" i="11" s="1"/>
  <c r="C13" i="11"/>
  <c r="D13" i="11" s="1"/>
  <c r="E13" i="11" s="1"/>
  <c r="B14" i="11"/>
  <c r="I14" i="11" s="1"/>
  <c r="J14" i="11" s="1"/>
  <c r="C14" i="11"/>
  <c r="D14" i="11" s="1"/>
  <c r="E14" i="11" s="1"/>
  <c r="B15" i="11"/>
  <c r="I15" i="11" s="1"/>
  <c r="J15" i="11" s="1"/>
  <c r="C15" i="11"/>
  <c r="D15" i="11" s="1"/>
  <c r="E15" i="11" s="1"/>
  <c r="B16" i="11"/>
  <c r="I16" i="11" s="1"/>
  <c r="J16" i="11" s="1"/>
  <c r="C16" i="11"/>
  <c r="D16" i="11" s="1"/>
  <c r="E16" i="11" s="1"/>
  <c r="B17" i="11"/>
  <c r="I17" i="11" s="1"/>
  <c r="J17" i="11" s="1"/>
  <c r="C17" i="11"/>
  <c r="D17" i="11" s="1"/>
  <c r="E17" i="11" s="1"/>
  <c r="B18" i="11"/>
  <c r="I18" i="11" s="1"/>
  <c r="J18" i="11" s="1"/>
  <c r="C18" i="11"/>
  <c r="D18" i="11" s="1"/>
  <c r="E18" i="11" s="1"/>
  <c r="B19" i="11"/>
  <c r="I19" i="11" s="1"/>
  <c r="J19" i="11" s="1"/>
  <c r="C19" i="11"/>
  <c r="D19" i="11" s="1"/>
  <c r="E19" i="11" s="1"/>
  <c r="B20" i="11"/>
  <c r="I20" i="11" s="1"/>
  <c r="J20" i="11" s="1"/>
  <c r="C20" i="11"/>
  <c r="D20" i="11" s="1"/>
  <c r="E20" i="11" s="1"/>
  <c r="B21" i="11"/>
  <c r="I21" i="11" s="1"/>
  <c r="J21" i="11" s="1"/>
  <c r="C21" i="11"/>
  <c r="D21" i="11" s="1"/>
  <c r="E21" i="11" s="1"/>
  <c r="B22" i="11"/>
  <c r="I22" i="11" s="1"/>
  <c r="J22" i="11" s="1"/>
  <c r="C22" i="11"/>
  <c r="D22" i="11" s="1"/>
  <c r="E22" i="11" s="1"/>
  <c r="B23" i="11"/>
  <c r="C23" i="11"/>
  <c r="D23" i="11" s="1"/>
  <c r="E23" i="11" s="1"/>
  <c r="I23" i="11"/>
  <c r="J23" i="11"/>
  <c r="L23" i="11"/>
  <c r="M23" i="11"/>
  <c r="B24" i="11"/>
  <c r="C24" i="11"/>
  <c r="D24" i="11" s="1"/>
  <c r="E24" i="11" s="1"/>
  <c r="B25" i="11"/>
  <c r="C25" i="11"/>
  <c r="D25" i="11"/>
  <c r="E25" i="11"/>
  <c r="B26" i="11"/>
  <c r="C26" i="11" s="1"/>
  <c r="D26" i="11" s="1"/>
  <c r="E26" i="11" s="1"/>
  <c r="B27" i="11"/>
  <c r="C27" i="11"/>
  <c r="D27" i="11" s="1"/>
  <c r="E27" i="11" s="1"/>
  <c r="B28" i="11"/>
  <c r="C28" i="11" s="1"/>
  <c r="D28" i="11" s="1"/>
  <c r="E28" i="11" s="1"/>
  <c r="B29" i="11"/>
  <c r="C29" i="11"/>
  <c r="D29" i="11" s="1"/>
  <c r="E29" i="11" s="1"/>
  <c r="B30" i="11"/>
  <c r="C30" i="11" s="1"/>
  <c r="D30" i="11" s="1"/>
  <c r="E30" i="11" s="1"/>
  <c r="B31" i="11"/>
  <c r="C31" i="11"/>
  <c r="D31" i="11" s="1"/>
  <c r="E31" i="11" s="1"/>
  <c r="B32" i="11"/>
  <c r="C32" i="11" s="1"/>
  <c r="D32" i="11" s="1"/>
  <c r="E32" i="11" s="1"/>
  <c r="B33" i="11"/>
  <c r="C33" i="11"/>
  <c r="D33" i="11" s="1"/>
  <c r="E33" i="11" s="1"/>
  <c r="B34" i="11"/>
  <c r="C34" i="11" s="1"/>
  <c r="D34" i="11" s="1"/>
  <c r="E34" i="11" s="1"/>
  <c r="B35" i="11"/>
  <c r="C35" i="11"/>
  <c r="D35" i="11" s="1"/>
  <c r="E35" i="11" s="1"/>
  <c r="B36" i="11"/>
  <c r="C36" i="11" s="1"/>
  <c r="D36" i="11" s="1"/>
  <c r="E36" i="11" s="1"/>
  <c r="B37" i="11"/>
  <c r="C37" i="11"/>
  <c r="D37" i="11" s="1"/>
  <c r="E37" i="11" s="1"/>
  <c r="B38" i="11"/>
  <c r="C38" i="11" s="1"/>
  <c r="D38" i="11" s="1"/>
  <c r="E38" i="11" s="1"/>
  <c r="B39" i="11"/>
  <c r="C39" i="11"/>
  <c r="D39" i="11" s="1"/>
  <c r="E39" i="11" s="1"/>
  <c r="B40" i="11"/>
  <c r="C40" i="11" s="1"/>
  <c r="D40" i="11" s="1"/>
  <c r="E40" i="11" s="1"/>
  <c r="C5" i="10"/>
  <c r="C6" i="10"/>
  <c r="D8" i="10"/>
  <c r="F8" i="10" s="1"/>
  <c r="C58" i="1"/>
  <c r="C59" i="1"/>
  <c r="C60" i="1"/>
  <c r="C61" i="1"/>
  <c r="C62" i="1"/>
  <c r="C63" i="1"/>
  <c r="C64" i="1"/>
  <c r="C65" i="1"/>
  <c r="C66" i="1"/>
  <c r="C67" i="1"/>
  <c r="C57" i="1"/>
  <c r="C41" i="1"/>
  <c r="C42" i="1"/>
  <c r="C43" i="1"/>
  <c r="C44" i="1"/>
  <c r="C45" i="1"/>
  <c r="D45" i="1" s="1"/>
  <c r="E45" i="1" s="1"/>
  <c r="C46" i="1"/>
  <c r="C47" i="1"/>
  <c r="C48" i="1"/>
  <c r="C49" i="1"/>
  <c r="C50" i="1"/>
  <c r="C40" i="1"/>
  <c r="C24" i="1"/>
  <c r="C25" i="1"/>
  <c r="C26" i="1"/>
  <c r="C27" i="1"/>
  <c r="C28" i="1"/>
  <c r="C29" i="1"/>
  <c r="C30" i="1"/>
  <c r="C31" i="1"/>
  <c r="C32" i="1"/>
  <c r="C33" i="1"/>
  <c r="C23" i="1"/>
  <c r="C7" i="1"/>
  <c r="C8" i="1"/>
  <c r="C9" i="1"/>
  <c r="C10" i="1"/>
  <c r="C11" i="1"/>
  <c r="C12" i="1"/>
  <c r="C13" i="1"/>
  <c r="D13" i="1" s="1"/>
  <c r="E13" i="1" s="1"/>
  <c r="C14" i="1"/>
  <c r="C15" i="1"/>
  <c r="C16" i="1"/>
  <c r="C6" i="1"/>
  <c r="B53" i="1"/>
  <c r="B58" i="1" s="1"/>
  <c r="B36" i="1"/>
  <c r="B40" i="1"/>
  <c r="B19" i="1"/>
  <c r="B29" i="1" s="1"/>
  <c r="D29" i="1" s="1"/>
  <c r="E29" i="1" s="1"/>
  <c r="B2" i="1"/>
  <c r="B6" i="1" s="1"/>
  <c r="D6" i="1" s="1"/>
  <c r="E6" i="1" s="1"/>
  <c r="B50" i="1"/>
  <c r="B49" i="1"/>
  <c r="D49" i="1" s="1"/>
  <c r="E49" i="1" s="1"/>
  <c r="B48" i="1"/>
  <c r="B47" i="1"/>
  <c r="B46" i="1"/>
  <c r="B45" i="1"/>
  <c r="B44" i="1"/>
  <c r="B43" i="1"/>
  <c r="D43" i="1" s="1"/>
  <c r="E43" i="1" s="1"/>
  <c r="B42" i="1"/>
  <c r="B41" i="1"/>
  <c r="D41" i="1" s="1"/>
  <c r="E41" i="1" s="1"/>
  <c r="D44" i="1"/>
  <c r="E44" i="1" s="1"/>
  <c r="D42" i="1"/>
  <c r="E42" i="1" s="1"/>
  <c r="D40" i="1"/>
  <c r="E40" i="1"/>
  <c r="B14" i="1"/>
  <c r="B12" i="1"/>
  <c r="B10" i="1"/>
  <c r="B8" i="1"/>
  <c r="B7" i="1"/>
  <c r="D7" i="1" s="1"/>
  <c r="E7" i="1" s="1"/>
  <c r="B15" i="1"/>
  <c r="B13" i="1"/>
  <c r="B11" i="1"/>
  <c r="D11" i="1" s="1"/>
  <c r="E11" i="1" s="1"/>
  <c r="D10" i="1"/>
  <c r="E10" i="1" s="1"/>
  <c r="D8" i="1"/>
  <c r="E8" i="1" s="1"/>
  <c r="K22" i="11" l="1"/>
  <c r="J25" i="11"/>
  <c r="C11" i="11"/>
  <c r="D11" i="11" s="1"/>
  <c r="E11" i="11" s="1"/>
  <c r="E41" i="11" s="1"/>
  <c r="L22" i="11"/>
  <c r="M22" i="11" s="1"/>
  <c r="L21" i="11"/>
  <c r="M21" i="11" s="1"/>
  <c r="L20" i="11"/>
  <c r="M20" i="11" s="1"/>
  <c r="L19" i="11"/>
  <c r="M19" i="11" s="1"/>
  <c r="L18" i="11"/>
  <c r="M18" i="11" s="1"/>
  <c r="L17" i="11"/>
  <c r="M17" i="11" s="1"/>
  <c r="L16" i="11"/>
  <c r="M16" i="11" s="1"/>
  <c r="L15" i="11"/>
  <c r="M15" i="11" s="1"/>
  <c r="L14" i="11"/>
  <c r="M14" i="11" s="1"/>
  <c r="L13" i="11"/>
  <c r="M13" i="11" s="1"/>
  <c r="L12" i="11"/>
  <c r="M12" i="11" s="1"/>
  <c r="L11" i="11"/>
  <c r="M11" i="11" s="1"/>
  <c r="B26" i="1"/>
  <c r="D12" i="1"/>
  <c r="E12" i="1" s="1"/>
  <c r="B28" i="1"/>
  <c r="D28" i="1" s="1"/>
  <c r="E28" i="1" s="1"/>
  <c r="B30" i="1"/>
  <c r="D30" i="1" s="1"/>
  <c r="E30" i="1" s="1"/>
  <c r="D50" i="1"/>
  <c r="E50" i="1" s="1"/>
  <c r="B31" i="1"/>
  <c r="D31" i="1" s="1"/>
  <c r="E31" i="1" s="1"/>
  <c r="B9" i="1"/>
  <c r="D9" i="1" s="1"/>
  <c r="E9" i="1" s="1"/>
  <c r="D48" i="1"/>
  <c r="E48" i="1" s="1"/>
  <c r="D15" i="1"/>
  <c r="E15" i="1" s="1"/>
  <c r="D47" i="1"/>
  <c r="E47" i="1" s="1"/>
  <c r="B23" i="1"/>
  <c r="D14" i="1"/>
  <c r="E14" i="1" s="1"/>
  <c r="D23" i="1"/>
  <c r="E23" i="1" s="1"/>
  <c r="D26" i="1"/>
  <c r="E26" i="1" s="1"/>
  <c r="D46" i="1"/>
  <c r="E46" i="1" s="1"/>
  <c r="D58" i="1"/>
  <c r="E58" i="1" s="1"/>
  <c r="D64" i="1"/>
  <c r="E64" i="1" s="1"/>
  <c r="D62" i="1"/>
  <c r="E62" i="1" s="1"/>
  <c r="B24" i="1"/>
  <c r="D24" i="1" s="1"/>
  <c r="E24" i="1" s="1"/>
  <c r="B32" i="1"/>
  <c r="D32" i="1" s="1"/>
  <c r="E32" i="1" s="1"/>
  <c r="B16" i="1"/>
  <c r="D16" i="1" s="1"/>
  <c r="E16" i="1" s="1"/>
  <c r="B25" i="1"/>
  <c r="D25" i="1" s="1"/>
  <c r="E25" i="1" s="1"/>
  <c r="B33" i="1"/>
  <c r="D33" i="1" s="1"/>
  <c r="E33" i="1" s="1"/>
  <c r="B67" i="1"/>
  <c r="D67" i="1" s="1"/>
  <c r="E67" i="1" s="1"/>
  <c r="B65" i="1"/>
  <c r="D65" i="1" s="1"/>
  <c r="E65" i="1" s="1"/>
  <c r="B63" i="1"/>
  <c r="D63" i="1" s="1"/>
  <c r="E63" i="1" s="1"/>
  <c r="B61" i="1"/>
  <c r="D61" i="1" s="1"/>
  <c r="E61" i="1" s="1"/>
  <c r="B59" i="1"/>
  <c r="D59" i="1" s="1"/>
  <c r="E59" i="1" s="1"/>
  <c r="B27" i="1"/>
  <c r="D27" i="1" s="1"/>
  <c r="E27" i="1" s="1"/>
  <c r="B57" i="1"/>
  <c r="D57" i="1" s="1"/>
  <c r="E57" i="1" s="1"/>
  <c r="B66" i="1"/>
  <c r="D66" i="1" s="1"/>
  <c r="E66" i="1" s="1"/>
  <c r="B64" i="1"/>
  <c r="B62" i="1"/>
  <c r="B60" i="1"/>
  <c r="D60" i="1" s="1"/>
  <c r="E60" i="1" s="1"/>
  <c r="N22" i="11" l="1"/>
  <c r="M25" i="11"/>
</calcChain>
</file>

<file path=xl/sharedStrings.xml><?xml version="1.0" encoding="utf-8"?>
<sst xmlns="http://schemas.openxmlformats.org/spreadsheetml/2006/main" count="90" uniqueCount="49">
  <si>
    <t>Duration Prediction</t>
  </si>
  <si>
    <t>Interest Rate Change</t>
  </si>
  <si>
    <t>Actual Bond Price</t>
  </si>
  <si>
    <t>Original Bond Price</t>
  </si>
  <si>
    <t>Original Duration</t>
  </si>
  <si>
    <t>5-Year 14% Coupon Bond with a 10% Required Return</t>
  </si>
  <si>
    <t>Error</t>
  </si>
  <si>
    <t>5-Year 6% Coupon Bond with a 10% Required Return</t>
  </si>
  <si>
    <t>30-Year 14% Coupon Bond with a 10% Required Return</t>
  </si>
  <si>
    <t>30-Year 6% Coupon Bond with a 10% Required Return</t>
  </si>
  <si>
    <t>% Error</t>
  </si>
  <si>
    <t>Coupon Payment</t>
  </si>
  <si>
    <t>Baseline Required Return</t>
  </si>
  <si>
    <t>Years to Maturity</t>
  </si>
  <si>
    <t>to</t>
  </si>
  <si>
    <t>The Bond Price should change by</t>
  </si>
  <si>
    <t>If Interest Rates change by</t>
  </si>
  <si>
    <t>Duration</t>
  </si>
  <si>
    <t>Bond Price</t>
  </si>
  <si>
    <t>Required Return</t>
  </si>
  <si>
    <t>Coupon Rate</t>
  </si>
  <si>
    <t>Maturity Value</t>
  </si>
  <si>
    <t>Selling Price</t>
  </si>
  <si>
    <t>PMT 12</t>
  </si>
  <si>
    <t>PMT 11</t>
  </si>
  <si>
    <t>PMT 10</t>
  </si>
  <si>
    <t>PMT 9</t>
  </si>
  <si>
    <t>PMT 8</t>
  </si>
  <si>
    <t>PMT 7</t>
  </si>
  <si>
    <t>PMT 6</t>
  </si>
  <si>
    <t>PMT 5</t>
  </si>
  <si>
    <t>PMT 4</t>
  </si>
  <si>
    <t>PMT 3</t>
  </si>
  <si>
    <t>PMT 2</t>
  </si>
  <si>
    <t>PMT 1</t>
  </si>
  <si>
    <t>FV@7.5%</t>
  </si>
  <si>
    <t>FV@9.5%</t>
  </si>
  <si>
    <t>(PV/B)*Period</t>
  </si>
  <si>
    <t>PV/B</t>
  </si>
  <si>
    <t>PV of CF</t>
  </si>
  <si>
    <t>CF</t>
  </si>
  <si>
    <t>Period</t>
  </si>
  <si>
    <t>rise to 9.5% as opposed to falling to 7.5%</t>
  </si>
  <si>
    <t>almost exactly offset by the lower selling price of the bond when interest rates</t>
  </si>
  <si>
    <t xml:space="preserve">decrease.  The extra interest made from reinvesting the coupon payments is </t>
  </si>
  <si>
    <t>should expect to have the same total proceeds if interest rates increase/</t>
  </si>
  <si>
    <t>sensitivity, it also tells us that an investor with a 12-year holding period</t>
  </si>
  <si>
    <t>12 years when the required return is 8.5%.  While this tells us about the price</t>
  </si>
  <si>
    <t>Consider the Bond in this example.  It's duration is approximately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</si>
</sst>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quot;$&quot;#,##0.00"/>
    <numFmt numFmtId="165" formatCode="0.000%"/>
    <numFmt numFmtId="166" formatCode="#,##0.0000_);[Red]\(#,##0.0000\)"/>
  </numFmts>
  <fonts count="4" x14ac:knownFonts="1">
    <font>
      <sz val="10"/>
      <name val="Arial"/>
    </font>
    <font>
      <b/>
      <sz val="12"/>
      <name val="Arial"/>
      <family val="2"/>
    </font>
    <font>
      <sz val="10"/>
      <name val="Arial"/>
      <family val="2"/>
    </font>
    <font>
      <b/>
      <sz val="10"/>
      <name val="Arial"/>
      <family val="2"/>
    </font>
  </fonts>
  <fills count="5">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indexed="42"/>
        <bgColor indexed="64"/>
      </patternFill>
    </fill>
  </fills>
  <borders count="1">
    <border>
      <left/>
      <right/>
      <top/>
      <bottom/>
      <diagonal/>
    </border>
  </borders>
  <cellStyleXfs count="1">
    <xf numFmtId="0" fontId="0" fillId="0" borderId="0"/>
  </cellStyleXfs>
  <cellXfs count="21">
    <xf numFmtId="0" fontId="0" fillId="0" borderId="0" xfId="0"/>
    <xf numFmtId="9" fontId="0" fillId="0" borderId="0" xfId="0" applyNumberFormat="1"/>
    <xf numFmtId="8" fontId="0" fillId="0" borderId="0" xfId="0" applyNumberFormat="1"/>
    <xf numFmtId="164" fontId="0" fillId="0" borderId="0" xfId="0" applyNumberFormat="1"/>
    <xf numFmtId="0" fontId="1" fillId="0" borderId="0" xfId="0" applyFont="1"/>
    <xf numFmtId="10" fontId="0" fillId="0" borderId="0" xfId="0" applyNumberFormat="1"/>
    <xf numFmtId="0" fontId="2" fillId="0" borderId="0" xfId="0" applyFont="1"/>
    <xf numFmtId="6" fontId="0" fillId="0" borderId="0" xfId="0" applyNumberFormat="1"/>
    <xf numFmtId="164" fontId="0" fillId="2" borderId="0" xfId="0" applyNumberFormat="1" applyFill="1"/>
    <xf numFmtId="0" fontId="0" fillId="0" borderId="0" xfId="0" applyAlignment="1">
      <alignment horizontal="center"/>
    </xf>
    <xf numFmtId="165" fontId="0" fillId="2" borderId="0" xfId="0" applyNumberFormat="1" applyFill="1"/>
    <xf numFmtId="166" fontId="0" fillId="0" borderId="0" xfId="0" applyNumberFormat="1"/>
    <xf numFmtId="165" fontId="0" fillId="3" borderId="0" xfId="0" applyNumberFormat="1" applyFill="1"/>
    <xf numFmtId="166" fontId="0" fillId="2" borderId="0" xfId="0" applyNumberFormat="1" applyFill="1"/>
    <xf numFmtId="8" fontId="0" fillId="3" borderId="0" xfId="0" applyNumberFormat="1" applyFill="1"/>
    <xf numFmtId="0" fontId="0" fillId="3" borderId="0" xfId="0" applyFill="1"/>
    <xf numFmtId="0" fontId="3" fillId="4" borderId="0" xfId="0" applyFont="1" applyFill="1"/>
    <xf numFmtId="0" fontId="3" fillId="0" borderId="0" xfId="0" applyFont="1"/>
    <xf numFmtId="165" fontId="0" fillId="4" borderId="0" xfId="0" applyNumberFormat="1" applyFill="1"/>
    <xf numFmtId="8" fontId="0" fillId="4" borderId="0" xfId="0" applyNumberFormat="1" applyFill="1"/>
    <xf numFmtId="0" fontId="0" fillId="4" borderId="0" xfId="0"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3" Type="http://schemas.openxmlformats.org/officeDocument/2006/relationships/worksheet" Target="worksheets/sheet3.xml"/><Relationship Id="rId7" Type="http://schemas.openxmlformats.org/officeDocument/2006/relationships/chartsheet" Target="chart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sharedStrings" Target="sharedStrings.xml"/><Relationship Id="rId5" Type="http://schemas.openxmlformats.org/officeDocument/2006/relationships/chartsheet" Target="chartsheets/sheet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Convexity 5-year 14% Bond</a:t>
            </a:r>
          </a:p>
        </c:rich>
      </c:tx>
      <c:layout>
        <c:manualLayout>
          <c:xMode val="edge"/>
          <c:yMode val="edge"/>
          <c:x val="0.37846836847946724"/>
          <c:y val="1.9575856443719411E-2"/>
        </c:manualLayout>
      </c:layout>
      <c:overlay val="0"/>
      <c:spPr>
        <a:noFill/>
        <a:ln w="25400">
          <a:noFill/>
        </a:ln>
      </c:spPr>
    </c:title>
    <c:autoTitleDeleted val="0"/>
    <c:plotArea>
      <c:layout>
        <c:manualLayout>
          <c:layoutTarget val="inner"/>
          <c:xMode val="edge"/>
          <c:yMode val="edge"/>
          <c:x val="8.7680355160932297E-2"/>
          <c:y val="0.12234910277324633"/>
          <c:w val="0.73029966703662597"/>
          <c:h val="0.78303425774877655"/>
        </c:manualLayout>
      </c:layout>
      <c:lineChart>
        <c:grouping val="standard"/>
        <c:varyColors val="0"/>
        <c:ser>
          <c:idx val="1"/>
          <c:order val="0"/>
          <c:tx>
            <c:strRef>
              <c:f>'Convexity Calculations'!$B$5</c:f>
              <c:strCache>
                <c:ptCount val="1"/>
                <c:pt idx="0">
                  <c:v>Duration Prediction</c:v>
                </c:pt>
              </c:strCache>
            </c:strRef>
          </c:tx>
          <c:spPr>
            <a:ln w="12700">
              <a:solidFill>
                <a:srgbClr val="000080"/>
              </a:solidFill>
              <a:prstDash val="solid"/>
            </a:ln>
          </c:spPr>
          <c:marker>
            <c:symbol val="square"/>
            <c:size val="5"/>
            <c:spPr>
              <a:solidFill>
                <a:srgbClr val="000080"/>
              </a:solidFill>
              <a:ln>
                <a:solidFill>
                  <a:srgbClr val="333399"/>
                </a:solidFill>
                <a:prstDash val="solid"/>
              </a:ln>
            </c:spPr>
          </c:marker>
          <c:cat>
            <c:numRef>
              <c:f>'Convexity Calculations'!$A$6:$A$16</c:f>
              <c:numCache>
                <c:formatCode>0%</c:formatCode>
                <c:ptCount val="11"/>
                <c:pt idx="0">
                  <c:v>-0.05</c:v>
                </c:pt>
                <c:pt idx="1">
                  <c:v>-0.04</c:v>
                </c:pt>
                <c:pt idx="2">
                  <c:v>-0.03</c:v>
                </c:pt>
                <c:pt idx="3">
                  <c:v>-0.02</c:v>
                </c:pt>
                <c:pt idx="4">
                  <c:v>-0.01</c:v>
                </c:pt>
                <c:pt idx="5">
                  <c:v>0</c:v>
                </c:pt>
                <c:pt idx="6">
                  <c:v>0.01</c:v>
                </c:pt>
                <c:pt idx="7">
                  <c:v>0.02</c:v>
                </c:pt>
                <c:pt idx="8">
                  <c:v>0.03</c:v>
                </c:pt>
                <c:pt idx="9">
                  <c:v>0.04</c:v>
                </c:pt>
                <c:pt idx="10">
                  <c:v>0.05</c:v>
                </c:pt>
              </c:numCache>
            </c:numRef>
          </c:cat>
          <c:val>
            <c:numRef>
              <c:f>'Convexity Calculations'!$B$6:$B$16</c:f>
              <c:numCache>
                <c:formatCode>"$"#,##0.00</c:formatCode>
                <c:ptCount val="11"/>
                <c:pt idx="0">
                  <c:v>1360.5374195751658</c:v>
                </c:pt>
                <c:pt idx="1">
                  <c:v>1318.7562298154003</c:v>
                </c:pt>
                <c:pt idx="2">
                  <c:v>1276.9750400556347</c:v>
                </c:pt>
                <c:pt idx="3">
                  <c:v>1235.1938502958692</c:v>
                </c:pt>
                <c:pt idx="4">
                  <c:v>1193.4126605361037</c:v>
                </c:pt>
                <c:pt idx="5">
                  <c:v>1151.6314707763381</c:v>
                </c:pt>
                <c:pt idx="6">
                  <c:v>1109.8502810165726</c:v>
                </c:pt>
                <c:pt idx="7">
                  <c:v>1068.069091256807</c:v>
                </c:pt>
                <c:pt idx="8">
                  <c:v>1026.2879014970415</c:v>
                </c:pt>
                <c:pt idx="9">
                  <c:v>984.50671173727585</c:v>
                </c:pt>
                <c:pt idx="10">
                  <c:v>942.72552197751043</c:v>
                </c:pt>
              </c:numCache>
            </c:numRef>
          </c:val>
          <c:smooth val="0"/>
          <c:extLst>
            <c:ext xmlns:c16="http://schemas.microsoft.com/office/drawing/2014/chart" uri="{C3380CC4-5D6E-409C-BE32-E72D297353CC}">
              <c16:uniqueId val="{00000000-9DA1-40CA-9AFD-A0451328F6C6}"/>
            </c:ext>
          </c:extLst>
        </c:ser>
        <c:ser>
          <c:idx val="2"/>
          <c:order val="1"/>
          <c:tx>
            <c:strRef>
              <c:f>'Convexity Calculations'!$C$5</c:f>
              <c:strCache>
                <c:ptCount val="1"/>
                <c:pt idx="0">
                  <c:v>Actual Bond Price</c:v>
                </c:pt>
              </c:strCache>
            </c:strRef>
          </c:tx>
          <c:spPr>
            <a:ln w="12700">
              <a:solidFill>
                <a:srgbClr val="FF00FF"/>
              </a:solidFill>
              <a:prstDash val="solid"/>
            </a:ln>
          </c:spPr>
          <c:marker>
            <c:symbol val="triangle"/>
            <c:size val="5"/>
            <c:spPr>
              <a:solidFill>
                <a:srgbClr val="FF00FF"/>
              </a:solidFill>
              <a:ln>
                <a:solidFill>
                  <a:srgbClr val="FF00FF"/>
                </a:solidFill>
                <a:prstDash val="solid"/>
              </a:ln>
            </c:spPr>
          </c:marker>
          <c:cat>
            <c:numRef>
              <c:f>'Convexity Calculations'!$A$6:$A$16</c:f>
              <c:numCache>
                <c:formatCode>0%</c:formatCode>
                <c:ptCount val="11"/>
                <c:pt idx="0">
                  <c:v>-0.05</c:v>
                </c:pt>
                <c:pt idx="1">
                  <c:v>-0.04</c:v>
                </c:pt>
                <c:pt idx="2">
                  <c:v>-0.03</c:v>
                </c:pt>
                <c:pt idx="3">
                  <c:v>-0.02</c:v>
                </c:pt>
                <c:pt idx="4">
                  <c:v>-0.01</c:v>
                </c:pt>
                <c:pt idx="5">
                  <c:v>0</c:v>
                </c:pt>
                <c:pt idx="6">
                  <c:v>0.01</c:v>
                </c:pt>
                <c:pt idx="7">
                  <c:v>0.02</c:v>
                </c:pt>
                <c:pt idx="8">
                  <c:v>0.03</c:v>
                </c:pt>
                <c:pt idx="9">
                  <c:v>0.04</c:v>
                </c:pt>
                <c:pt idx="10">
                  <c:v>0.05</c:v>
                </c:pt>
              </c:numCache>
            </c:numRef>
          </c:cat>
          <c:val>
            <c:numRef>
              <c:f>'Convexity Calculations'!$C$6:$C$16</c:f>
              <c:numCache>
                <c:formatCode>"$"#,##0.00_);[Red]\("$"#,##0.00\)</c:formatCode>
                <c:ptCount val="11"/>
                <c:pt idx="0">
                  <c:v>1389.6529003567739</c:v>
                </c:pt>
                <c:pt idx="1">
                  <c:v>1336.9891028452575</c:v>
                </c:pt>
                <c:pt idx="2">
                  <c:v>1287.0138205163316</c:v>
                </c:pt>
                <c:pt idx="3">
                  <c:v>1239.5626022246852</c:v>
                </c:pt>
                <c:pt idx="4">
                  <c:v>1194.482563167586</c:v>
                </c:pt>
                <c:pt idx="5">
                  <c:v>1151.6314707763381</c:v>
                </c:pt>
                <c:pt idx="6">
                  <c:v>1110.8769105294839</c:v>
                </c:pt>
                <c:pt idx="7">
                  <c:v>1072.0955240469</c:v>
                </c:pt>
                <c:pt idx="8">
                  <c:v>1035.172312615427</c:v>
                </c:pt>
                <c:pt idx="9">
                  <c:v>1000</c:v>
                </c:pt>
                <c:pt idx="10">
                  <c:v>966.47844901988583</c:v>
                </c:pt>
              </c:numCache>
            </c:numRef>
          </c:val>
          <c:smooth val="0"/>
          <c:extLst>
            <c:ext xmlns:c16="http://schemas.microsoft.com/office/drawing/2014/chart" uri="{C3380CC4-5D6E-409C-BE32-E72D297353CC}">
              <c16:uniqueId val="{00000001-9DA1-40CA-9AFD-A0451328F6C6}"/>
            </c:ext>
          </c:extLst>
        </c:ser>
        <c:dLbls>
          <c:showLegendKey val="0"/>
          <c:showVal val="0"/>
          <c:showCatName val="0"/>
          <c:showSerName val="0"/>
          <c:showPercent val="0"/>
          <c:showBubbleSize val="0"/>
        </c:dLbls>
        <c:marker val="1"/>
        <c:smooth val="0"/>
        <c:axId val="172047872"/>
        <c:axId val="165574848"/>
      </c:lineChart>
      <c:catAx>
        <c:axId val="17204787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65574848"/>
        <c:crosses val="autoZero"/>
        <c:auto val="1"/>
        <c:lblAlgn val="ctr"/>
        <c:lblOffset val="100"/>
        <c:tickLblSkip val="1"/>
        <c:tickMarkSkip val="1"/>
        <c:noMultiLvlLbl val="0"/>
      </c:catAx>
      <c:valAx>
        <c:axId val="165574848"/>
        <c:scaling>
          <c:orientation val="minMax"/>
          <c:max val="1450"/>
          <c:min val="850"/>
        </c:scaling>
        <c:delete val="0"/>
        <c:axPos val="l"/>
        <c:majorGridlines>
          <c:spPr>
            <a:ln w="3175">
              <a:solidFill>
                <a:srgbClr val="000000"/>
              </a:solidFill>
              <a:prstDash val="solid"/>
            </a:ln>
          </c:spPr>
        </c:majorGridlines>
        <c:numFmt formatCode="&quot;$&quot;#,##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2047872"/>
        <c:crosses val="autoZero"/>
        <c:crossBetween val="between"/>
      </c:valAx>
      <c:spPr>
        <a:solidFill>
          <a:schemeClr val="bg1"/>
        </a:solidFill>
        <a:ln w="12700">
          <a:solidFill>
            <a:srgbClr val="808080"/>
          </a:solidFill>
          <a:prstDash val="solid"/>
        </a:ln>
      </c:spPr>
    </c:plotArea>
    <c:legend>
      <c:legendPos val="r"/>
      <c:layout>
        <c:manualLayout>
          <c:xMode val="edge"/>
          <c:yMode val="edge"/>
          <c:x val="0.83018867924528306"/>
          <c:y val="0.47960848287112562"/>
          <c:w val="0.16537180910099891"/>
          <c:h val="7.0146818923327914E-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Convexity 5-Year 6% Coupon Bond</a:t>
            </a:r>
          </a:p>
        </c:rich>
      </c:tx>
      <c:layout>
        <c:manualLayout>
          <c:xMode val="edge"/>
          <c:yMode val="edge"/>
          <c:x val="0.3462819089900111"/>
          <c:y val="1.9575856443719411E-2"/>
        </c:manualLayout>
      </c:layout>
      <c:overlay val="0"/>
      <c:spPr>
        <a:noFill/>
        <a:ln w="25400">
          <a:noFill/>
        </a:ln>
      </c:spPr>
    </c:title>
    <c:autoTitleDeleted val="0"/>
    <c:plotArea>
      <c:layout>
        <c:manualLayout>
          <c:layoutTarget val="inner"/>
          <c:xMode val="edge"/>
          <c:yMode val="edge"/>
          <c:x val="8.7680355160932297E-2"/>
          <c:y val="0.12234910277324633"/>
          <c:w val="0.73029966703662597"/>
          <c:h val="0.78303425774877655"/>
        </c:manualLayout>
      </c:layout>
      <c:lineChart>
        <c:grouping val="standard"/>
        <c:varyColors val="0"/>
        <c:ser>
          <c:idx val="0"/>
          <c:order val="0"/>
          <c:tx>
            <c:strRef>
              <c:f>'Convexity Calculations'!$B$22</c:f>
              <c:strCache>
                <c:ptCount val="1"/>
                <c:pt idx="0">
                  <c:v>Duration Prediction</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'Convexity Calculations'!$A$23:$A$33</c:f>
              <c:numCache>
                <c:formatCode>0%</c:formatCode>
                <c:ptCount val="11"/>
                <c:pt idx="0">
                  <c:v>-0.05</c:v>
                </c:pt>
                <c:pt idx="1">
                  <c:v>-0.04</c:v>
                </c:pt>
                <c:pt idx="2">
                  <c:v>-0.03</c:v>
                </c:pt>
                <c:pt idx="3">
                  <c:v>-0.02</c:v>
                </c:pt>
                <c:pt idx="4">
                  <c:v>-0.01</c:v>
                </c:pt>
                <c:pt idx="5">
                  <c:v>0</c:v>
                </c:pt>
                <c:pt idx="6">
                  <c:v>0.01</c:v>
                </c:pt>
                <c:pt idx="7">
                  <c:v>0.02</c:v>
                </c:pt>
                <c:pt idx="8">
                  <c:v>0.03</c:v>
                </c:pt>
                <c:pt idx="9">
                  <c:v>0.04</c:v>
                </c:pt>
                <c:pt idx="10">
                  <c:v>0.05</c:v>
                </c:pt>
              </c:numCache>
            </c:numRef>
          </c:cat>
          <c:val>
            <c:numRef>
              <c:f>'Convexity Calculations'!$B$23:$B$33</c:f>
              <c:numCache>
                <c:formatCode>"$"#,##0.00</c:formatCode>
                <c:ptCount val="11"/>
                <c:pt idx="0">
                  <c:v>1018.5396875241664</c:v>
                </c:pt>
                <c:pt idx="1">
                  <c:v>984.50545586406554</c:v>
                </c:pt>
                <c:pt idx="2">
                  <c:v>950.47122420396465</c:v>
                </c:pt>
                <c:pt idx="3">
                  <c:v>916.43699254386377</c:v>
                </c:pt>
                <c:pt idx="4">
                  <c:v>882.40276088376288</c:v>
                </c:pt>
                <c:pt idx="5">
                  <c:v>848.36852922366199</c:v>
                </c:pt>
                <c:pt idx="6">
                  <c:v>814.33429756356111</c:v>
                </c:pt>
                <c:pt idx="7">
                  <c:v>780.30006590346022</c:v>
                </c:pt>
                <c:pt idx="8">
                  <c:v>746.26583424335934</c:v>
                </c:pt>
                <c:pt idx="9">
                  <c:v>712.23160258325845</c:v>
                </c:pt>
                <c:pt idx="10">
                  <c:v>678.19737092315756</c:v>
                </c:pt>
              </c:numCache>
            </c:numRef>
          </c:val>
          <c:smooth val="0"/>
          <c:extLst>
            <c:ext xmlns:c16="http://schemas.microsoft.com/office/drawing/2014/chart" uri="{C3380CC4-5D6E-409C-BE32-E72D297353CC}">
              <c16:uniqueId val="{00000000-D0B9-4499-910D-AEE39B053291}"/>
            </c:ext>
          </c:extLst>
        </c:ser>
        <c:ser>
          <c:idx val="1"/>
          <c:order val="1"/>
          <c:tx>
            <c:strRef>
              <c:f>'Convexity Calculations'!$C$22</c:f>
              <c:strCache>
                <c:ptCount val="1"/>
                <c:pt idx="0">
                  <c:v>Actual Bond Price</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'Convexity Calculations'!$A$23:$A$33</c:f>
              <c:numCache>
                <c:formatCode>0%</c:formatCode>
                <c:ptCount val="11"/>
                <c:pt idx="0">
                  <c:v>-0.05</c:v>
                </c:pt>
                <c:pt idx="1">
                  <c:v>-0.04</c:v>
                </c:pt>
                <c:pt idx="2">
                  <c:v>-0.03</c:v>
                </c:pt>
                <c:pt idx="3">
                  <c:v>-0.02</c:v>
                </c:pt>
                <c:pt idx="4">
                  <c:v>-0.01</c:v>
                </c:pt>
                <c:pt idx="5">
                  <c:v>0</c:v>
                </c:pt>
                <c:pt idx="6">
                  <c:v>0.01</c:v>
                </c:pt>
                <c:pt idx="7">
                  <c:v>0.02</c:v>
                </c:pt>
                <c:pt idx="8">
                  <c:v>0.03</c:v>
                </c:pt>
                <c:pt idx="9">
                  <c:v>0.04</c:v>
                </c:pt>
                <c:pt idx="10">
                  <c:v>0.05</c:v>
                </c:pt>
              </c:numCache>
            </c:numRef>
          </c:cat>
          <c:val>
            <c:numRef>
              <c:f>'Convexity Calculations'!$C$23:$C$33</c:f>
              <c:numCache>
                <c:formatCode>"$"#,##0.00_);[Red]\("$"#,##0.00\)</c:formatCode>
                <c:ptCount val="11"/>
                <c:pt idx="0">
                  <c:v>1043.2947667063083</c:v>
                </c:pt>
                <c:pt idx="1">
                  <c:v>999.99999999999989</c:v>
                </c:pt>
                <c:pt idx="2">
                  <c:v>958.99802564052402</c:v>
                </c:pt>
                <c:pt idx="3">
                  <c:v>920.14579925843827</c:v>
                </c:pt>
                <c:pt idx="4">
                  <c:v>883.31046209944839</c:v>
                </c:pt>
                <c:pt idx="5">
                  <c:v>848.36852922366199</c:v>
                </c:pt>
                <c:pt idx="6">
                  <c:v>815.20514911752673</c:v>
                </c:pt>
                <c:pt idx="7">
                  <c:v>783.7134278592996</c:v>
                </c:pt>
                <c:pt idx="8">
                  <c:v>753.79381169201076</c:v>
                </c:pt>
                <c:pt idx="9">
                  <c:v>725.35352249132302</c:v>
                </c:pt>
                <c:pt idx="10">
                  <c:v>698.30604117897383</c:v>
                </c:pt>
              </c:numCache>
            </c:numRef>
          </c:val>
          <c:smooth val="0"/>
          <c:extLst>
            <c:ext xmlns:c16="http://schemas.microsoft.com/office/drawing/2014/chart" uri="{C3380CC4-5D6E-409C-BE32-E72D297353CC}">
              <c16:uniqueId val="{00000001-D0B9-4499-910D-AEE39B053291}"/>
            </c:ext>
          </c:extLst>
        </c:ser>
        <c:dLbls>
          <c:showLegendKey val="0"/>
          <c:showVal val="0"/>
          <c:showCatName val="0"/>
          <c:showSerName val="0"/>
          <c:showPercent val="0"/>
          <c:showBubbleSize val="0"/>
        </c:dLbls>
        <c:marker val="1"/>
        <c:smooth val="0"/>
        <c:axId val="172044800"/>
        <c:axId val="224718784"/>
      </c:lineChart>
      <c:catAx>
        <c:axId val="17204480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4718784"/>
        <c:crosses val="autoZero"/>
        <c:auto val="1"/>
        <c:lblAlgn val="ctr"/>
        <c:lblOffset val="100"/>
        <c:tickLblSkip val="1"/>
        <c:tickMarkSkip val="1"/>
        <c:noMultiLvlLbl val="0"/>
      </c:catAx>
      <c:valAx>
        <c:axId val="224718784"/>
        <c:scaling>
          <c:orientation val="minMax"/>
          <c:max val="1075"/>
          <c:min val="625"/>
        </c:scaling>
        <c:delete val="0"/>
        <c:axPos val="l"/>
        <c:majorGridlines>
          <c:spPr>
            <a:ln w="3175">
              <a:solidFill>
                <a:srgbClr val="000000"/>
              </a:solidFill>
              <a:prstDash val="solid"/>
            </a:ln>
          </c:spPr>
        </c:majorGridlines>
        <c:numFmt formatCode="&quot;$&quot;#,##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2044800"/>
        <c:crosses val="autoZero"/>
        <c:crossBetween val="between"/>
      </c:valAx>
      <c:spPr>
        <a:solidFill>
          <a:schemeClr val="bg1"/>
        </a:solidFill>
        <a:ln w="12700">
          <a:solidFill>
            <a:srgbClr val="808080"/>
          </a:solidFill>
          <a:prstDash val="solid"/>
        </a:ln>
      </c:spPr>
    </c:plotArea>
    <c:legend>
      <c:legendPos val="r"/>
      <c:layout>
        <c:manualLayout>
          <c:xMode val="edge"/>
          <c:yMode val="edge"/>
          <c:x val="0.83018867924528306"/>
          <c:y val="0.47960848287112562"/>
          <c:w val="0.16537180910099891"/>
          <c:h val="7.0146818923327914E-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Convexity 30-Year 14% Coupon</a:t>
            </a:r>
          </a:p>
        </c:rich>
      </c:tx>
      <c:layout>
        <c:manualLayout>
          <c:xMode val="edge"/>
          <c:yMode val="edge"/>
          <c:x val="0.36182019977802443"/>
          <c:y val="1.9575856443719411E-2"/>
        </c:manualLayout>
      </c:layout>
      <c:overlay val="0"/>
      <c:spPr>
        <a:noFill/>
        <a:ln w="25400">
          <a:noFill/>
        </a:ln>
      </c:spPr>
    </c:title>
    <c:autoTitleDeleted val="0"/>
    <c:plotArea>
      <c:layout>
        <c:manualLayout>
          <c:layoutTarget val="inner"/>
          <c:xMode val="edge"/>
          <c:yMode val="edge"/>
          <c:x val="8.7680355160932297E-2"/>
          <c:y val="0.12234910277324633"/>
          <c:w val="0.73029966703662597"/>
          <c:h val="0.78303425774877655"/>
        </c:manualLayout>
      </c:layout>
      <c:lineChart>
        <c:grouping val="standard"/>
        <c:varyColors val="0"/>
        <c:ser>
          <c:idx val="0"/>
          <c:order val="0"/>
          <c:tx>
            <c:strRef>
              <c:f>'Convexity Calculations'!$B$39</c:f>
              <c:strCache>
                <c:ptCount val="1"/>
                <c:pt idx="0">
                  <c:v>Duration Prediction</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'Convexity Calculations'!$A$40:$A$50</c:f>
              <c:numCache>
                <c:formatCode>0%</c:formatCode>
                <c:ptCount val="11"/>
                <c:pt idx="0">
                  <c:v>-0.05</c:v>
                </c:pt>
                <c:pt idx="1">
                  <c:v>-0.04</c:v>
                </c:pt>
                <c:pt idx="2">
                  <c:v>-0.03</c:v>
                </c:pt>
                <c:pt idx="3">
                  <c:v>-0.02</c:v>
                </c:pt>
                <c:pt idx="4">
                  <c:v>-0.01</c:v>
                </c:pt>
                <c:pt idx="5">
                  <c:v>0</c:v>
                </c:pt>
                <c:pt idx="6">
                  <c:v>0.01</c:v>
                </c:pt>
                <c:pt idx="7">
                  <c:v>0.02</c:v>
                </c:pt>
                <c:pt idx="8">
                  <c:v>0.03</c:v>
                </c:pt>
                <c:pt idx="9">
                  <c:v>0.04</c:v>
                </c:pt>
                <c:pt idx="10">
                  <c:v>0.05</c:v>
                </c:pt>
              </c:numCache>
            </c:numRef>
          </c:cat>
          <c:val>
            <c:numRef>
              <c:f>'Convexity Calculations'!$B$40:$B$50</c:f>
              <c:numCache>
                <c:formatCode>"$"#,##0.00</c:formatCode>
                <c:ptCount val="11"/>
                <c:pt idx="0">
                  <c:v>2005.6995179687515</c:v>
                </c:pt>
                <c:pt idx="1">
                  <c:v>1879.9749301109077</c:v>
                </c:pt>
                <c:pt idx="2">
                  <c:v>1754.250342253064</c:v>
                </c:pt>
                <c:pt idx="3">
                  <c:v>1628.5257543952202</c:v>
                </c:pt>
                <c:pt idx="4">
                  <c:v>1502.8011665373763</c:v>
                </c:pt>
                <c:pt idx="5">
                  <c:v>1377.0765786795328</c:v>
                </c:pt>
                <c:pt idx="6">
                  <c:v>1251.351990821689</c:v>
                </c:pt>
                <c:pt idx="7">
                  <c:v>1125.6274029638453</c:v>
                </c:pt>
                <c:pt idx="8">
                  <c:v>999.90281510600164</c:v>
                </c:pt>
                <c:pt idx="9">
                  <c:v>874.1782272481579</c:v>
                </c:pt>
                <c:pt idx="10">
                  <c:v>748.45363939031415</c:v>
                </c:pt>
              </c:numCache>
            </c:numRef>
          </c:val>
          <c:smooth val="0"/>
          <c:extLst>
            <c:ext xmlns:c16="http://schemas.microsoft.com/office/drawing/2014/chart" uri="{C3380CC4-5D6E-409C-BE32-E72D297353CC}">
              <c16:uniqueId val="{00000000-47C6-40D8-8C9E-CB7ED7FB902D}"/>
            </c:ext>
          </c:extLst>
        </c:ser>
        <c:ser>
          <c:idx val="1"/>
          <c:order val="1"/>
          <c:tx>
            <c:strRef>
              <c:f>'Convexity Calculations'!$C$39</c:f>
              <c:strCache>
                <c:ptCount val="1"/>
                <c:pt idx="0">
                  <c:v>Actual Bond Price</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'Convexity Calculations'!$A$40:$A$50</c:f>
              <c:numCache>
                <c:formatCode>0%</c:formatCode>
                <c:ptCount val="11"/>
                <c:pt idx="0">
                  <c:v>-0.05</c:v>
                </c:pt>
                <c:pt idx="1">
                  <c:v>-0.04</c:v>
                </c:pt>
                <c:pt idx="2">
                  <c:v>-0.03</c:v>
                </c:pt>
                <c:pt idx="3">
                  <c:v>-0.02</c:v>
                </c:pt>
                <c:pt idx="4">
                  <c:v>-0.01</c:v>
                </c:pt>
                <c:pt idx="5">
                  <c:v>0</c:v>
                </c:pt>
                <c:pt idx="6">
                  <c:v>0.01</c:v>
                </c:pt>
                <c:pt idx="7">
                  <c:v>0.02</c:v>
                </c:pt>
                <c:pt idx="8">
                  <c:v>0.03</c:v>
                </c:pt>
                <c:pt idx="9">
                  <c:v>0.04</c:v>
                </c:pt>
                <c:pt idx="10">
                  <c:v>0.05</c:v>
                </c:pt>
              </c:numCache>
            </c:numRef>
          </c:cat>
          <c:val>
            <c:numRef>
              <c:f>'Convexity Calculations'!$C$40:$C$50</c:f>
              <c:numCache>
                <c:formatCode>"$"#,##0.00_);[Red]\("$"#,##0.00\)</c:formatCode>
                <c:ptCount val="11"/>
                <c:pt idx="0">
                  <c:v>2383.5205924194552</c:v>
                </c:pt>
                <c:pt idx="1">
                  <c:v>2101.1864921191541</c:v>
                </c:pt>
                <c:pt idx="2">
                  <c:v>1868.6328828454098</c:v>
                </c:pt>
                <c:pt idx="3">
                  <c:v>1675.4670005876492</c:v>
                </c:pt>
                <c:pt idx="4">
                  <c:v>1513.6827021510871</c:v>
                </c:pt>
                <c:pt idx="5">
                  <c:v>1377.0765786795328</c:v>
                </c:pt>
                <c:pt idx="6">
                  <c:v>1260.8137772039836</c:v>
                </c:pt>
                <c:pt idx="7">
                  <c:v>1161.1036793533472</c:v>
                </c:pt>
                <c:pt idx="8">
                  <c:v>1074.9565343933116</c:v>
                </c:pt>
                <c:pt idx="9">
                  <c:v>999.99999999999989</c:v>
                </c:pt>
                <c:pt idx="10">
                  <c:v>934.34020363292552</c:v>
                </c:pt>
              </c:numCache>
            </c:numRef>
          </c:val>
          <c:smooth val="0"/>
          <c:extLst>
            <c:ext xmlns:c16="http://schemas.microsoft.com/office/drawing/2014/chart" uri="{C3380CC4-5D6E-409C-BE32-E72D297353CC}">
              <c16:uniqueId val="{00000001-47C6-40D8-8C9E-CB7ED7FB902D}"/>
            </c:ext>
          </c:extLst>
        </c:ser>
        <c:dLbls>
          <c:showLegendKey val="0"/>
          <c:showVal val="0"/>
          <c:showCatName val="0"/>
          <c:showSerName val="0"/>
          <c:showPercent val="0"/>
          <c:showBubbleSize val="0"/>
        </c:dLbls>
        <c:marker val="1"/>
        <c:smooth val="0"/>
        <c:axId val="172050432"/>
        <c:axId val="224721664"/>
      </c:lineChart>
      <c:catAx>
        <c:axId val="17205043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4721664"/>
        <c:crosses val="autoZero"/>
        <c:auto val="1"/>
        <c:lblAlgn val="ctr"/>
        <c:lblOffset val="100"/>
        <c:tickLblSkip val="1"/>
        <c:tickMarkSkip val="1"/>
        <c:noMultiLvlLbl val="0"/>
      </c:catAx>
      <c:valAx>
        <c:axId val="224721664"/>
        <c:scaling>
          <c:orientation val="minMax"/>
          <c:max val="2500"/>
          <c:min val="700"/>
        </c:scaling>
        <c:delete val="0"/>
        <c:axPos val="l"/>
        <c:numFmt formatCode="&quot;$&quot;#,##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2050432"/>
        <c:crosses val="autoZero"/>
        <c:crossBetween val="between"/>
      </c:valAx>
      <c:spPr>
        <a:solidFill>
          <a:schemeClr val="bg1"/>
        </a:solidFill>
        <a:ln w="12700">
          <a:solidFill>
            <a:srgbClr val="808080"/>
          </a:solidFill>
          <a:prstDash val="solid"/>
        </a:ln>
      </c:spPr>
    </c:plotArea>
    <c:legend>
      <c:legendPos val="r"/>
      <c:layout>
        <c:manualLayout>
          <c:xMode val="edge"/>
          <c:yMode val="edge"/>
          <c:x val="0.83018867924528306"/>
          <c:y val="0.47960848287112562"/>
          <c:w val="0.16537180910099891"/>
          <c:h val="7.0146818923327914E-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Convexity 30-Year 6% Coupon</a:t>
            </a:r>
          </a:p>
        </c:rich>
      </c:tx>
      <c:layout>
        <c:manualLayout>
          <c:xMode val="edge"/>
          <c:yMode val="edge"/>
          <c:x val="0.36736958934517205"/>
          <c:y val="1.9575856443719411E-2"/>
        </c:manualLayout>
      </c:layout>
      <c:overlay val="0"/>
      <c:spPr>
        <a:noFill/>
        <a:ln w="25400">
          <a:noFill/>
        </a:ln>
      </c:spPr>
    </c:title>
    <c:autoTitleDeleted val="0"/>
    <c:plotArea>
      <c:layout>
        <c:manualLayout>
          <c:layoutTarget val="inner"/>
          <c:xMode val="edge"/>
          <c:yMode val="edge"/>
          <c:x val="8.7680355160932297E-2"/>
          <c:y val="0.12234910277324633"/>
          <c:w val="0.73029966703662597"/>
          <c:h val="0.78303425774877655"/>
        </c:manualLayout>
      </c:layout>
      <c:lineChart>
        <c:grouping val="standard"/>
        <c:varyColors val="0"/>
        <c:ser>
          <c:idx val="0"/>
          <c:order val="0"/>
          <c:tx>
            <c:strRef>
              <c:f>'Convexity Calculations'!$B$56</c:f>
              <c:strCache>
                <c:ptCount val="1"/>
                <c:pt idx="0">
                  <c:v>Duration Prediction</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'Convexity Calculations'!$A$57:$A$67</c:f>
              <c:numCache>
                <c:formatCode>0%</c:formatCode>
                <c:ptCount val="11"/>
                <c:pt idx="0">
                  <c:v>-0.05</c:v>
                </c:pt>
                <c:pt idx="1">
                  <c:v>-0.04</c:v>
                </c:pt>
                <c:pt idx="2">
                  <c:v>-0.03</c:v>
                </c:pt>
                <c:pt idx="3">
                  <c:v>-0.02</c:v>
                </c:pt>
                <c:pt idx="4">
                  <c:v>-0.01</c:v>
                </c:pt>
                <c:pt idx="5">
                  <c:v>0</c:v>
                </c:pt>
                <c:pt idx="6">
                  <c:v>0.01</c:v>
                </c:pt>
                <c:pt idx="7">
                  <c:v>0.02</c:v>
                </c:pt>
                <c:pt idx="8">
                  <c:v>0.03</c:v>
                </c:pt>
                <c:pt idx="9">
                  <c:v>0.04</c:v>
                </c:pt>
                <c:pt idx="10">
                  <c:v>0.05</c:v>
                </c:pt>
              </c:numCache>
            </c:numRef>
          </c:cat>
          <c:val>
            <c:numRef>
              <c:f>'Convexity Calculations'!$B$57:$B$67</c:f>
              <c:numCache>
                <c:formatCode>"$"#,##0.00</c:formatCode>
                <c:ptCount val="11"/>
                <c:pt idx="0">
                  <c:v>936.9900844698592</c:v>
                </c:pt>
                <c:pt idx="1">
                  <c:v>874.17675183998074</c:v>
                </c:pt>
                <c:pt idx="2">
                  <c:v>811.36341921010239</c:v>
                </c:pt>
                <c:pt idx="3">
                  <c:v>748.55008658022393</c:v>
                </c:pt>
                <c:pt idx="4">
                  <c:v>685.73675395034559</c:v>
                </c:pt>
                <c:pt idx="5">
                  <c:v>622.92342132046724</c:v>
                </c:pt>
                <c:pt idx="6">
                  <c:v>560.1100886905889</c:v>
                </c:pt>
                <c:pt idx="7">
                  <c:v>497.29675606071049</c:v>
                </c:pt>
                <c:pt idx="8">
                  <c:v>434.48342343083215</c:v>
                </c:pt>
                <c:pt idx="9">
                  <c:v>371.67009080095369</c:v>
                </c:pt>
                <c:pt idx="10">
                  <c:v>308.85675817107528</c:v>
                </c:pt>
              </c:numCache>
            </c:numRef>
          </c:val>
          <c:smooth val="0"/>
          <c:extLst>
            <c:ext xmlns:c16="http://schemas.microsoft.com/office/drawing/2014/chart" uri="{C3380CC4-5D6E-409C-BE32-E72D297353CC}">
              <c16:uniqueId val="{00000000-5D1D-417B-8379-439E3AE17A9A}"/>
            </c:ext>
          </c:extLst>
        </c:ser>
        <c:ser>
          <c:idx val="1"/>
          <c:order val="1"/>
          <c:tx>
            <c:strRef>
              <c:f>'Convexity Calculations'!$C$56</c:f>
              <c:strCache>
                <c:ptCount val="1"/>
                <c:pt idx="0">
                  <c:v>Actual Bond Price</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'Convexity Calculations'!$A$57:$A$67</c:f>
              <c:numCache>
                <c:formatCode>0%</c:formatCode>
                <c:ptCount val="11"/>
                <c:pt idx="0">
                  <c:v>-0.05</c:v>
                </c:pt>
                <c:pt idx="1">
                  <c:v>-0.04</c:v>
                </c:pt>
                <c:pt idx="2">
                  <c:v>-0.03</c:v>
                </c:pt>
                <c:pt idx="3">
                  <c:v>-0.02</c:v>
                </c:pt>
                <c:pt idx="4">
                  <c:v>-0.01</c:v>
                </c:pt>
                <c:pt idx="5">
                  <c:v>0</c:v>
                </c:pt>
                <c:pt idx="6">
                  <c:v>0.01</c:v>
                </c:pt>
                <c:pt idx="7">
                  <c:v>0.02</c:v>
                </c:pt>
                <c:pt idx="8">
                  <c:v>0.03</c:v>
                </c:pt>
                <c:pt idx="9">
                  <c:v>0.04</c:v>
                </c:pt>
                <c:pt idx="10">
                  <c:v>0.05</c:v>
                </c:pt>
              </c:numCache>
            </c:numRef>
          </c:cat>
          <c:val>
            <c:numRef>
              <c:f>'Convexity Calculations'!$C$57:$C$67</c:f>
              <c:numCache>
                <c:formatCode>"$"#,##0.00_);[Red]\("$"#,##0.00\)</c:formatCode>
                <c:ptCount val="11"/>
                <c:pt idx="0">
                  <c:v>1153.7245102688285</c:v>
                </c:pt>
                <c:pt idx="1">
                  <c:v>1000</c:v>
                </c:pt>
                <c:pt idx="2">
                  <c:v>875.90958816494117</c:v>
                </c:pt>
                <c:pt idx="3">
                  <c:v>774.84433313745035</c:v>
                </c:pt>
                <c:pt idx="4">
                  <c:v>691.79037870934769</c:v>
                </c:pt>
                <c:pt idx="5">
                  <c:v>622.92342132046724</c:v>
                </c:pt>
                <c:pt idx="6">
                  <c:v>565.31037132669394</c:v>
                </c:pt>
                <c:pt idx="7">
                  <c:v>516.68896193995829</c:v>
                </c:pt>
                <c:pt idx="8">
                  <c:v>475.30425924681953</c:v>
                </c:pt>
                <c:pt idx="9">
                  <c:v>439.78687102180231</c:v>
                </c:pt>
                <c:pt idx="10">
                  <c:v>409.06183269633073</c:v>
                </c:pt>
              </c:numCache>
            </c:numRef>
          </c:val>
          <c:smooth val="0"/>
          <c:extLst>
            <c:ext xmlns:c16="http://schemas.microsoft.com/office/drawing/2014/chart" uri="{C3380CC4-5D6E-409C-BE32-E72D297353CC}">
              <c16:uniqueId val="{00000001-5D1D-417B-8379-439E3AE17A9A}"/>
            </c:ext>
          </c:extLst>
        </c:ser>
        <c:dLbls>
          <c:showLegendKey val="0"/>
          <c:showVal val="0"/>
          <c:showCatName val="0"/>
          <c:showSerName val="0"/>
          <c:showPercent val="0"/>
          <c:showBubbleSize val="0"/>
        </c:dLbls>
        <c:marker val="1"/>
        <c:smooth val="0"/>
        <c:axId val="172045824"/>
        <c:axId val="165573120"/>
      </c:lineChart>
      <c:catAx>
        <c:axId val="17204582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65573120"/>
        <c:crosses val="autoZero"/>
        <c:auto val="1"/>
        <c:lblAlgn val="ctr"/>
        <c:lblOffset val="100"/>
        <c:tickLblSkip val="1"/>
        <c:tickMarkSkip val="1"/>
        <c:noMultiLvlLbl val="0"/>
      </c:catAx>
      <c:valAx>
        <c:axId val="165573120"/>
        <c:scaling>
          <c:orientation val="minMax"/>
          <c:max val="1200"/>
          <c:min val="200"/>
        </c:scaling>
        <c:delete val="0"/>
        <c:axPos val="l"/>
        <c:majorGridlines>
          <c:spPr>
            <a:ln w="3175">
              <a:solidFill>
                <a:srgbClr val="000000"/>
              </a:solidFill>
              <a:prstDash val="solid"/>
            </a:ln>
          </c:spPr>
        </c:majorGridlines>
        <c:numFmt formatCode="&quot;$&quot;#,##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2045824"/>
        <c:crosses val="autoZero"/>
        <c:crossBetween val="between"/>
      </c:valAx>
      <c:spPr>
        <a:noFill/>
        <a:ln w="12700">
          <a:solidFill>
            <a:srgbClr val="808080"/>
          </a:solidFill>
          <a:prstDash val="solid"/>
        </a:ln>
      </c:spPr>
    </c:plotArea>
    <c:legend>
      <c:legendPos val="r"/>
      <c:layout>
        <c:manualLayout>
          <c:xMode val="edge"/>
          <c:yMode val="edge"/>
          <c:x val="0.83018867924528306"/>
          <c:y val="0.47960848287112562"/>
          <c:w val="0.16537180910099891"/>
          <c:h val="7.0146818923327914E-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87" workbookViewId="0"/>
  </sheetViews>
  <pageMargins left="0.75" right="0.75" top="1" bottom="1" header="0.5" footer="0.5"/>
  <pageSetup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87" workbookViewId="0"/>
  </sheetViews>
  <pageMargins left="0.75" right="0.75" top="1" bottom="1" header="0.5" footer="0.5"/>
  <pageSetup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87" workbookViewId="0"/>
  </sheetViews>
  <pageMargins left="0.75" right="0.75" top="1" bottom="1" header="0.5" footer="0.5"/>
  <pageSetup orientation="landscape" r:id="rId1"/>
  <headerFooter alignWithMargins="0"/>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87" workbookViewId="0"/>
  </sheetViews>
  <pageMargins left="0.75" right="0.75" top="1" bottom="1" header="0.5" footer="0.5"/>
  <pageSetup orientation="landscape" r:id="rId1"/>
  <headerFooter alignWithMargins="0"/>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426720</xdr:colOff>
          <xdr:row>1</xdr:row>
          <xdr:rowOff>38100</xdr:rowOff>
        </xdr:from>
        <xdr:to>
          <xdr:col>11</xdr:col>
          <xdr:colOff>289560</xdr:colOff>
          <xdr:row>29</xdr:row>
          <xdr:rowOff>22860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0" y="0"/>
    <xdr:ext cx="8583448" cy="5846379"/>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583448" cy="5846379"/>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583448" cy="5846379"/>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0.16074</cdr:x>
      <cdr:y>0.22369</cdr:y>
    </cdr:from>
    <cdr:to>
      <cdr:x>0.32276</cdr:x>
      <cdr:y>0.25501</cdr:y>
    </cdr:to>
    <cdr:sp macro="" textlink="">
      <cdr:nvSpPr>
        <cdr:cNvPr id="5" name="Straight Arrow Connector 4"/>
        <cdr:cNvSpPr/>
      </cdr:nvSpPr>
      <cdr:spPr>
        <a:xfrm xmlns:a="http://schemas.openxmlformats.org/drawingml/2006/main" rot="10800000">
          <a:off x="1379483" y="1306086"/>
          <a:ext cx="1390432" cy="182880"/>
        </a:xfrm>
        <a:prstGeom xmlns:a="http://schemas.openxmlformats.org/drawingml/2006/main" prst="straightConnector1">
          <a:avLst/>
        </a:prstGeom>
        <a:ln xmlns:a="http://schemas.openxmlformats.org/drawingml/2006/main">
          <a:tailEnd type="arrow"/>
        </a:ln>
        <a:effectLst xmlns:a="http://schemas.openxmlformats.org/drawingml/2006/main"/>
      </cdr:spPr>
      <cdr:style>
        <a:lnRef xmlns:a="http://schemas.openxmlformats.org/drawingml/2006/main" idx="3">
          <a:schemeClr val="dk1"/>
        </a:lnRef>
        <a:fillRef xmlns:a="http://schemas.openxmlformats.org/drawingml/2006/main" idx="0">
          <a:schemeClr val="dk1"/>
        </a:fillRef>
        <a:effectRef xmlns:a="http://schemas.openxmlformats.org/drawingml/2006/main" idx="2">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0.62128</cdr:x>
      <cdr:y>0.46127</cdr:y>
    </cdr:from>
    <cdr:to>
      <cdr:x>0.73992</cdr:x>
      <cdr:y>0.75566</cdr:y>
    </cdr:to>
    <cdr:sp macro="" textlink="">
      <cdr:nvSpPr>
        <cdr:cNvPr id="7" name="Straight Arrow Connector 6"/>
        <cdr:cNvSpPr/>
      </cdr:nvSpPr>
      <cdr:spPr>
        <a:xfrm xmlns:a="http://schemas.openxmlformats.org/drawingml/2006/main" rot="16200000" flipH="1">
          <a:off x="4981470" y="3043622"/>
          <a:ext cx="1718876" cy="1018189"/>
        </a:xfrm>
        <a:prstGeom xmlns:a="http://schemas.openxmlformats.org/drawingml/2006/main" prst="straightConnector1">
          <a:avLst/>
        </a:prstGeom>
        <a:ln xmlns:a="http://schemas.openxmlformats.org/drawingml/2006/main">
          <a:tailEnd type="arrow"/>
        </a:ln>
        <a:effectLst xmlns:a="http://schemas.openxmlformats.org/drawingml/2006/main"/>
      </cdr:spPr>
      <cdr:style>
        <a:lnRef xmlns:a="http://schemas.openxmlformats.org/drawingml/2006/main" idx="3">
          <a:schemeClr val="dk1"/>
        </a:lnRef>
        <a:fillRef xmlns:a="http://schemas.openxmlformats.org/drawingml/2006/main" idx="0">
          <a:schemeClr val="dk1"/>
        </a:fillRef>
        <a:effectRef xmlns:a="http://schemas.openxmlformats.org/drawingml/2006/main" idx="2">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0.35082</cdr:x>
      <cdr:y>0.24564</cdr:y>
    </cdr:from>
    <cdr:to>
      <cdr:x>0.80243</cdr:x>
      <cdr:y>0.50815</cdr:y>
    </cdr:to>
    <cdr:sp macro="" textlink="">
      <cdr:nvSpPr>
        <cdr:cNvPr id="8" name="TextBox 7"/>
        <cdr:cNvSpPr txBox="1"/>
      </cdr:nvSpPr>
      <cdr:spPr>
        <a:xfrm xmlns:a="http://schemas.openxmlformats.org/drawingml/2006/main">
          <a:off x="3010776" y="1434223"/>
          <a:ext cx="3875690" cy="15327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a:latin typeface="Calibri" pitchFamily="34" charset="0"/>
            </a:rPr>
            <a:t>The</a:t>
          </a:r>
          <a:r>
            <a:rPr lang="en-US" sz="1400" baseline="0">
              <a:latin typeface="Calibri" pitchFamily="34" charset="0"/>
            </a:rPr>
            <a:t> actual bond price falls less than predicted by duration when interest rates go up and rises  more than predicted by duration when interest rates fall.  Note that the actual bond shape exhibits a convex relationship to interest rates.  Hence the term convexity.</a:t>
          </a:r>
          <a:endParaRPr lang="en-US" sz="1400">
            <a:latin typeface="Calibri" pitchFamily="34" charset="0"/>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8565931" cy="582448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7E44D-7C09-47AA-A368-8EC9036D240F}">
  <dimension ref="A1:F8"/>
  <sheetViews>
    <sheetView tabSelected="1" workbookViewId="0">
      <selection activeCell="C5" sqref="C5"/>
    </sheetView>
  </sheetViews>
  <sheetFormatPr defaultRowHeight="13.2" x14ac:dyDescent="0.25"/>
  <cols>
    <col min="1" max="6" width="10.6640625" customWidth="1"/>
  </cols>
  <sheetData>
    <row r="1" spans="1:6" x14ac:dyDescent="0.25">
      <c r="A1" t="s">
        <v>13</v>
      </c>
      <c r="C1" s="15">
        <v>10</v>
      </c>
    </row>
    <row r="2" spans="1:6" x14ac:dyDescent="0.25">
      <c r="A2" t="s">
        <v>21</v>
      </c>
      <c r="C2" s="14">
        <v>1000</v>
      </c>
    </row>
    <row r="3" spans="1:6" x14ac:dyDescent="0.25">
      <c r="A3" t="s">
        <v>20</v>
      </c>
      <c r="C3" s="12">
        <v>0.02</v>
      </c>
    </row>
    <row r="4" spans="1:6" x14ac:dyDescent="0.25">
      <c r="A4" t="s">
        <v>19</v>
      </c>
      <c r="C4" s="12">
        <v>0.02</v>
      </c>
    </row>
    <row r="5" spans="1:6" x14ac:dyDescent="0.25">
      <c r="A5" t="s">
        <v>18</v>
      </c>
      <c r="C5" s="14">
        <f>-1*PV(C4,C1,C3*C2,C2,0)</f>
        <v>1000.0000000000001</v>
      </c>
    </row>
    <row r="6" spans="1:6" x14ac:dyDescent="0.25">
      <c r="A6" t="s">
        <v>17</v>
      </c>
      <c r="C6" s="13">
        <f>((C2*C3)*((1+C4)^(C1+1)-(1+C4)-(C4*C1))/((C4^2)*(1+C4)^C1)+((C2*C1)/((1+C4)^C1)))/C5</f>
        <v>9.1622367063670698</v>
      </c>
    </row>
    <row r="7" spans="1:6" x14ac:dyDescent="0.25">
      <c r="A7" t="s">
        <v>16</v>
      </c>
      <c r="C7" s="11"/>
      <c r="D7" s="12">
        <v>0.01</v>
      </c>
    </row>
    <row r="8" spans="1:6" x14ac:dyDescent="0.25">
      <c r="A8" t="s">
        <v>15</v>
      </c>
      <c r="C8" s="11"/>
      <c r="D8" s="10">
        <f>-((C6/(1+C4))*(D7))</f>
        <v>-8.9825850062422247E-2</v>
      </c>
      <c r="E8" s="9" t="s">
        <v>14</v>
      </c>
      <c r="F8" s="8">
        <f>(C5*(1+D8))</f>
        <v>910.17414993757779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D42F9-74C0-4E6B-8D5B-FC1D907DC75A}">
  <dimension ref="A1:N41"/>
  <sheetViews>
    <sheetView workbookViewId="0">
      <selection activeCell="N22" sqref="N22"/>
    </sheetView>
  </sheetViews>
  <sheetFormatPr defaultRowHeight="13.2" x14ac:dyDescent="0.25"/>
  <cols>
    <col min="1" max="5" width="10.6640625" customWidth="1"/>
    <col min="8" max="8" width="11.5546875" customWidth="1"/>
    <col min="10" max="10" width="9.6640625" bestFit="1" customWidth="1"/>
    <col min="11" max="11" width="9.77734375" bestFit="1" customWidth="1"/>
    <col min="13" max="14" width="10.33203125" customWidth="1"/>
  </cols>
  <sheetData>
    <row r="1" spans="1:13" x14ac:dyDescent="0.25">
      <c r="A1" t="s">
        <v>13</v>
      </c>
      <c r="C1" s="20">
        <v>30</v>
      </c>
    </row>
    <row r="2" spans="1:13" x14ac:dyDescent="0.25">
      <c r="A2" t="s">
        <v>21</v>
      </c>
      <c r="C2" s="19">
        <v>1000</v>
      </c>
      <c r="H2" t="s">
        <v>48</v>
      </c>
    </row>
    <row r="3" spans="1:13" x14ac:dyDescent="0.25">
      <c r="A3" t="s">
        <v>20</v>
      </c>
      <c r="C3" s="18">
        <v>7.0000000000000007E-2</v>
      </c>
      <c r="H3" t="s">
        <v>47</v>
      </c>
    </row>
    <row r="4" spans="1:13" x14ac:dyDescent="0.25">
      <c r="A4" t="s">
        <v>19</v>
      </c>
      <c r="C4" s="18">
        <v>8.5000000000000006E-2</v>
      </c>
      <c r="H4" t="s">
        <v>46</v>
      </c>
    </row>
    <row r="5" spans="1:13" x14ac:dyDescent="0.25">
      <c r="A5" t="s">
        <v>18</v>
      </c>
      <c r="C5" s="19">
        <f>-1*PV($C$4,$C$1,$C$3*$C$2,$C$2,0)</f>
        <v>838.79734273729287</v>
      </c>
      <c r="H5" t="s">
        <v>45</v>
      </c>
    </row>
    <row r="6" spans="1:13" x14ac:dyDescent="0.25">
      <c r="A6" t="s">
        <v>17</v>
      </c>
      <c r="C6" s="13">
        <f>(($C$2*$C$3)*((1+$C$4)^($C$1+1)-(1+$C$4)-($C$4*$C$1))/(($C$4^2)*(1+$C$4)^$C$1)+(($C$2*$C$1)/((1+$C$4)^$C$1)))/$C$5</f>
        <v>11.9941473955275</v>
      </c>
      <c r="H6" t="s">
        <v>44</v>
      </c>
    </row>
    <row r="7" spans="1:13" x14ac:dyDescent="0.25">
      <c r="A7" t="s">
        <v>16</v>
      </c>
      <c r="C7" s="11"/>
      <c r="D7" s="18">
        <v>0.01</v>
      </c>
      <c r="H7" t="s">
        <v>43</v>
      </c>
    </row>
    <row r="8" spans="1:13" x14ac:dyDescent="0.25">
      <c r="A8" t="s">
        <v>15</v>
      </c>
      <c r="C8" s="11"/>
      <c r="D8" s="10">
        <f>-(($C$6/(1+$C$4))*($D$7))</f>
        <v>-0.11054513728596774</v>
      </c>
      <c r="E8" s="9" t="s">
        <v>14</v>
      </c>
      <c r="F8" s="8">
        <f>($C$5*(1+$D$8))</f>
        <v>746.07237532929389</v>
      </c>
      <c r="G8" s="3"/>
      <c r="H8" s="3" t="s">
        <v>42</v>
      </c>
    </row>
    <row r="10" spans="1:13" x14ac:dyDescent="0.25">
      <c r="A10" t="s">
        <v>41</v>
      </c>
      <c r="B10" t="s">
        <v>40</v>
      </c>
      <c r="C10" t="s">
        <v>39</v>
      </c>
      <c r="D10" t="s">
        <v>38</v>
      </c>
      <c r="E10" t="s">
        <v>37</v>
      </c>
      <c r="J10" t="s">
        <v>36</v>
      </c>
      <c r="M10" t="s">
        <v>35</v>
      </c>
    </row>
    <row r="11" spans="1:13" x14ac:dyDescent="0.25">
      <c r="A11">
        <v>1</v>
      </c>
      <c r="B11" s="3">
        <f>($C$2*$C$3)</f>
        <v>70</v>
      </c>
      <c r="C11" s="2">
        <f>-1*PV($C$4,$A11,0,$B11,0)</f>
        <v>64.516129032258064</v>
      </c>
      <c r="D11">
        <f>(C11/$C$5)</f>
        <v>7.691503745316966E-2</v>
      </c>
      <c r="E11">
        <f>D11*A11</f>
        <v>7.691503745316966E-2</v>
      </c>
      <c r="H11" t="s">
        <v>34</v>
      </c>
      <c r="I11" s="3">
        <f>$B11</f>
        <v>70</v>
      </c>
      <c r="J11" s="2">
        <f>-1*FV(0.095,11,0,I11,0)</f>
        <v>189.95614657160525</v>
      </c>
      <c r="L11" s="3">
        <f>$B11</f>
        <v>70</v>
      </c>
      <c r="M11" s="2">
        <f>-1*FV(0.075,11,0,L11,0)</f>
        <v>155.09262505289453</v>
      </c>
    </row>
    <row r="12" spans="1:13" x14ac:dyDescent="0.25">
      <c r="A12">
        <v>2</v>
      </c>
      <c r="B12" s="3">
        <f>($C$2*$C$3)</f>
        <v>70</v>
      </c>
      <c r="C12" s="2">
        <f>-1*PV($C$4,$A12,0,$B12,0)</f>
        <v>59.461870075813884</v>
      </c>
      <c r="D12">
        <f>(C12/$C$5)</f>
        <v>7.0889435440709359E-2</v>
      </c>
      <c r="E12">
        <f>D12*A12</f>
        <v>0.14177887088141872</v>
      </c>
      <c r="H12" t="s">
        <v>33</v>
      </c>
      <c r="I12" s="3">
        <f>$B12</f>
        <v>70</v>
      </c>
      <c r="J12" s="2">
        <f>-1*FV(0.095,10,0,I12,0)</f>
        <v>173.47593294210526</v>
      </c>
      <c r="L12" s="3">
        <f>$B12</f>
        <v>70</v>
      </c>
      <c r="M12" s="2">
        <f>-1*FV(0.075,10,0,L12,0)</f>
        <v>144.27220935152977</v>
      </c>
    </row>
    <row r="13" spans="1:13" x14ac:dyDescent="0.25">
      <c r="A13">
        <v>3</v>
      </c>
      <c r="B13" s="3">
        <f>($C$2*$C$3)</f>
        <v>70</v>
      </c>
      <c r="C13" s="2">
        <f>-1*PV($C$4,$A13,0,$B13,0)</f>
        <v>54.803566890151046</v>
      </c>
      <c r="D13">
        <f>(C13/$C$5)</f>
        <v>6.5335885198810464E-2</v>
      </c>
      <c r="E13">
        <f>D13*A13</f>
        <v>0.19600765559643141</v>
      </c>
      <c r="H13" t="s">
        <v>32</v>
      </c>
      <c r="I13" s="3">
        <f>$B13</f>
        <v>70</v>
      </c>
      <c r="J13" s="2">
        <f>-1*FV(0.095,9,0,I13,0)</f>
        <v>158.42550953616916</v>
      </c>
      <c r="L13" s="3">
        <f>$B13</f>
        <v>70</v>
      </c>
      <c r="M13" s="2">
        <f>-1*FV(0.075,9,0,L13,0)</f>
        <v>134.20670637351608</v>
      </c>
    </row>
    <row r="14" spans="1:13" x14ac:dyDescent="0.25">
      <c r="A14">
        <v>4</v>
      </c>
      <c r="B14" s="3">
        <f>($C$2*$C$3)</f>
        <v>70</v>
      </c>
      <c r="C14" s="2">
        <f>-1*PV($C$4,$A14,0,$B14,0)</f>
        <v>50.510199898756731</v>
      </c>
      <c r="D14">
        <f>(C14/$C$5)</f>
        <v>6.0217405713189384E-2</v>
      </c>
      <c r="E14">
        <f>D14*A14</f>
        <v>0.24086962285275754</v>
      </c>
      <c r="H14" t="s">
        <v>31</v>
      </c>
      <c r="I14" s="3">
        <f>$B14</f>
        <v>70</v>
      </c>
      <c r="J14" s="2">
        <f>-1*FV(0.095,8,0,I14,0)</f>
        <v>144.68083062663851</v>
      </c>
      <c r="L14" s="3">
        <f>$B14</f>
        <v>70</v>
      </c>
      <c r="M14" s="2">
        <f>-1*FV(0.075,8,0,L14,0)</f>
        <v>124.8434477893173</v>
      </c>
    </row>
    <row r="15" spans="1:13" x14ac:dyDescent="0.25">
      <c r="A15">
        <v>5</v>
      </c>
      <c r="B15" s="3">
        <f>($C$2*$C$3)</f>
        <v>70</v>
      </c>
      <c r="C15" s="2">
        <f>-1*PV($C$4,$A15,0,$B15,0)</f>
        <v>46.553179630190535</v>
      </c>
      <c r="D15">
        <f>(C15/$C$5)</f>
        <v>5.5499913099713714E-2</v>
      </c>
      <c r="E15">
        <f>D15*A15</f>
        <v>0.27749956549856858</v>
      </c>
      <c r="H15" t="s">
        <v>30</v>
      </c>
      <c r="I15" s="3">
        <f>$B15</f>
        <v>70</v>
      </c>
      <c r="J15" s="2">
        <f>-1*FV(0.095,7,0,I15,0)</f>
        <v>132.12861244441874</v>
      </c>
      <c r="L15" s="3">
        <f>$B15</f>
        <v>70</v>
      </c>
      <c r="M15" s="2">
        <f>-1*FV(0.075,7,0,L15,0)</f>
        <v>116.13343980401609</v>
      </c>
    </row>
    <row r="16" spans="1:13" x14ac:dyDescent="0.25">
      <c r="A16">
        <v>6</v>
      </c>
      <c r="B16" s="3">
        <f>($C$2*$C$3)</f>
        <v>70</v>
      </c>
      <c r="C16" s="2">
        <f>-1*PV($C$4,$A16,0,$B16,0)</f>
        <v>42.906156341189437</v>
      </c>
      <c r="D16">
        <f>(C16/$C$5)</f>
        <v>5.1151993640289141E-2</v>
      </c>
      <c r="E16">
        <f>D16*A16</f>
        <v>0.30691196184173486</v>
      </c>
      <c r="H16" t="s">
        <v>29</v>
      </c>
      <c r="I16" s="3">
        <f>$B16</f>
        <v>70</v>
      </c>
      <c r="J16" s="2">
        <f>-1*FV(0.095,6,0,I16,0)</f>
        <v>120.66539949261984</v>
      </c>
      <c r="L16" s="3">
        <f>$B16</f>
        <v>70</v>
      </c>
      <c r="M16" s="2">
        <f>-1*FV(0.075,6,0,L16,0)</f>
        <v>108.03110679443357</v>
      </c>
    </row>
    <row r="17" spans="1:14" x14ac:dyDescent="0.25">
      <c r="A17">
        <v>7</v>
      </c>
      <c r="B17" s="3">
        <f>($C$2*$C$3)</f>
        <v>70</v>
      </c>
      <c r="C17" s="2">
        <f>-1*PV($C$4,$A17,0,$B17,0)</f>
        <v>39.54484455409164</v>
      </c>
      <c r="D17">
        <f>(C17/$C$5)</f>
        <v>4.7144694599344825E-2</v>
      </c>
      <c r="E17">
        <f>D17*A17</f>
        <v>0.33001286219541376</v>
      </c>
      <c r="H17" t="s">
        <v>28</v>
      </c>
      <c r="I17" s="3">
        <f>$B17</f>
        <v>70</v>
      </c>
      <c r="J17" s="2">
        <f>-1*FV(0.095,5,0,I17,0)</f>
        <v>110.19671186540624</v>
      </c>
      <c r="L17" s="3">
        <f>$B17</f>
        <v>70</v>
      </c>
      <c r="M17" s="2">
        <f>-1*FV(0.075,5,0,L17,0)</f>
        <v>100.49405283203124</v>
      </c>
    </row>
    <row r="18" spans="1:14" x14ac:dyDescent="0.25">
      <c r="A18">
        <v>8</v>
      </c>
      <c r="B18" s="3">
        <f>($C$2*$C$3)</f>
        <v>70</v>
      </c>
      <c r="C18" s="2">
        <f>-1*PV($C$4,$A18,0,$B18,0)</f>
        <v>36.446861340176632</v>
      </c>
      <c r="D18">
        <f>(C18/$C$5)</f>
        <v>4.3451331427967588E-2</v>
      </c>
      <c r="E18">
        <f>D18*A18</f>
        <v>0.3476106514237407</v>
      </c>
      <c r="H18" t="s">
        <v>27</v>
      </c>
      <c r="I18" s="3">
        <f>$B18</f>
        <v>70</v>
      </c>
      <c r="J18" s="2">
        <f>-1*FV(0.095,4,0,I18,0)</f>
        <v>100.63626654375</v>
      </c>
      <c r="L18" s="3">
        <f>$B18</f>
        <v>70</v>
      </c>
      <c r="M18" s="2">
        <f>-1*FV(0.075,4,0,L18,0)</f>
        <v>93.482839843749986</v>
      </c>
    </row>
    <row r="19" spans="1:14" x14ac:dyDescent="0.25">
      <c r="A19">
        <v>9</v>
      </c>
      <c r="B19" s="3">
        <f>($C$2*$C$3)</f>
        <v>70</v>
      </c>
      <c r="C19" s="2">
        <f>-1*PV($C$4,$A19,0,$B19,0)</f>
        <v>33.591577272052199</v>
      </c>
      <c r="D19">
        <f>(C19/$C$5)</f>
        <v>4.0047310071859528E-2</v>
      </c>
      <c r="E19">
        <f>D19*A19</f>
        <v>0.36042579064673574</v>
      </c>
      <c r="H19" t="s">
        <v>26</v>
      </c>
      <c r="I19" s="3">
        <f>$B19</f>
        <v>70</v>
      </c>
      <c r="J19" s="2">
        <f>-1*FV(0.095,3,0,I19,0)</f>
        <v>91.905266249999997</v>
      </c>
      <c r="L19" s="3">
        <f>$B19</f>
        <v>70</v>
      </c>
      <c r="M19" s="2">
        <f>-1*FV(0.075,3,0,L19,0)</f>
        <v>86.960781249999997</v>
      </c>
    </row>
    <row r="20" spans="1:14" x14ac:dyDescent="0.25">
      <c r="A20">
        <v>10</v>
      </c>
      <c r="B20" s="3">
        <f>($C$2*$C$3)</f>
        <v>70</v>
      </c>
      <c r="C20" s="2">
        <f>-1*PV($C$4,$A20,0,$B20,0)</f>
        <v>30.959979052582671</v>
      </c>
      <c r="D20">
        <f>(C20/$C$5)</f>
        <v>3.6909963199870534E-2</v>
      </c>
      <c r="E20">
        <f>D20*A20</f>
        <v>0.36909963199870532</v>
      </c>
      <c r="H20" t="s">
        <v>25</v>
      </c>
      <c r="I20" s="3">
        <f>$B20</f>
        <v>70</v>
      </c>
      <c r="J20" s="2">
        <f>-1*FV(0.095,2,0,I20,0)</f>
        <v>83.931749999999994</v>
      </c>
      <c r="L20" s="3">
        <f>$B20</f>
        <v>70</v>
      </c>
      <c r="M20" s="2">
        <f>-1*FV(0.075,2,0,L20,0)</f>
        <v>80.893749999999997</v>
      </c>
    </row>
    <row r="21" spans="1:14" x14ac:dyDescent="0.25">
      <c r="A21">
        <v>11</v>
      </c>
      <c r="B21" s="3">
        <f>($C$2*$C$3)</f>
        <v>70</v>
      </c>
      <c r="C21" s="2">
        <f>-1*PV($C$4,$A21,0,$B21,0)</f>
        <v>28.534542905606148</v>
      </c>
      <c r="D21">
        <f>(C21/$C$5)</f>
        <v>3.4018399262553491E-2</v>
      </c>
      <c r="E21">
        <f>D21*A21</f>
        <v>0.3742023918880884</v>
      </c>
      <c r="H21" t="s">
        <v>24</v>
      </c>
      <c r="I21" s="3">
        <f>$B21</f>
        <v>70</v>
      </c>
      <c r="J21" s="2">
        <f>-1*FV(0.095,1,0,I21,0)</f>
        <v>76.649999999999991</v>
      </c>
      <c r="L21" s="3">
        <f>$B21</f>
        <v>70</v>
      </c>
      <c r="M21" s="2">
        <f>-1*FV(0.075,1,0,L21,0)</f>
        <v>75.25</v>
      </c>
    </row>
    <row r="22" spans="1:14" x14ac:dyDescent="0.25">
      <c r="A22">
        <v>12</v>
      </c>
      <c r="B22" s="3">
        <f>($C$2*$C$3)</f>
        <v>70</v>
      </c>
      <c r="C22" s="2">
        <f>-1*PV($C$4,$A22,0,$B22,0)</f>
        <v>26.299117885351293</v>
      </c>
      <c r="D22">
        <f>(C22/$C$5)</f>
        <v>3.1353363375625339E-2</v>
      </c>
      <c r="E22">
        <f>D22*A22</f>
        <v>0.37624036050750409</v>
      </c>
      <c r="H22" t="s">
        <v>23</v>
      </c>
      <c r="I22" s="3">
        <f>$B22</f>
        <v>70</v>
      </c>
      <c r="J22" s="2">
        <f>-1*FV(0.095,0,0,I22,0)</f>
        <v>70</v>
      </c>
      <c r="K22" s="2">
        <f>SUM(J11:J22)</f>
        <v>1452.652426272713</v>
      </c>
      <c r="L22" s="3">
        <f>$B22</f>
        <v>70</v>
      </c>
      <c r="M22" s="2">
        <f>-1*FV(0.075,0,0,L22,0)</f>
        <v>70</v>
      </c>
      <c r="N22" s="2">
        <f>SUM(M11:M22)</f>
        <v>1289.6609590914886</v>
      </c>
    </row>
    <row r="23" spans="1:14" x14ac:dyDescent="0.25">
      <c r="A23">
        <v>13</v>
      </c>
      <c r="B23" s="3">
        <f>($C$2*$C$3)</f>
        <v>70</v>
      </c>
      <c r="C23" s="2">
        <f>-1*PV($C$4,$A23,0,$B23,0)</f>
        <v>24.23881832751271</v>
      </c>
      <c r="D23">
        <f>(C23/$C$5)</f>
        <v>2.8897109101958834E-2</v>
      </c>
      <c r="E23">
        <f>D23*A23</f>
        <v>0.37566241832546488</v>
      </c>
      <c r="H23" t="s">
        <v>22</v>
      </c>
      <c r="I23" s="2">
        <f>-1*PV(0.095,18,70,1000,0)</f>
        <v>788.21833830883338</v>
      </c>
      <c r="J23" s="2">
        <f>-1*FV(0.095,0,0,I23,0)</f>
        <v>788.21833830883338</v>
      </c>
      <c r="L23" s="2">
        <f>-1*PV(0.075,18,70,1000,0)</f>
        <v>951.4699546151694</v>
      </c>
      <c r="M23" s="2">
        <f>-1*FV(0.075,0,0,L23,0)</f>
        <v>951.4699546151694</v>
      </c>
    </row>
    <row r="24" spans="1:14" x14ac:dyDescent="0.25">
      <c r="A24">
        <v>14</v>
      </c>
      <c r="B24" s="3">
        <f>($C$2*$C$3)</f>
        <v>70</v>
      </c>
      <c r="C24" s="2">
        <f>-1*PV($C$4,$A24,0,$B24,0)</f>
        <v>22.339924725818168</v>
      </c>
      <c r="D24">
        <f>(C24/$C$5)</f>
        <v>2.6633280278303077E-2</v>
      </c>
      <c r="E24">
        <f>D24*A24</f>
        <v>0.37286592389624307</v>
      </c>
    </row>
    <row r="25" spans="1:14" x14ac:dyDescent="0.25">
      <c r="A25">
        <v>15</v>
      </c>
      <c r="B25" s="3">
        <f>($C$2*$C$3)</f>
        <v>70</v>
      </c>
      <c r="C25" s="2">
        <f>-1*PV($C$4,$A25,0,$B25,0)</f>
        <v>20.589792374025961</v>
      </c>
      <c r="D25">
        <f>(C25/$C$5)</f>
        <v>2.4546802099818504E-2</v>
      </c>
      <c r="E25">
        <f>D25*A25</f>
        <v>0.36820203149727754</v>
      </c>
      <c r="J25" s="2">
        <f>SUM(J11:J24)</f>
        <v>2240.8707645815466</v>
      </c>
      <c r="M25" s="2">
        <f>SUM(M11:M24)</f>
        <v>2241.1309137066582</v>
      </c>
    </row>
    <row r="26" spans="1:14" x14ac:dyDescent="0.25">
      <c r="A26">
        <v>16</v>
      </c>
      <c r="B26" s="3">
        <f>($C$2*$C$3)</f>
        <v>70</v>
      </c>
      <c r="C26" s="2">
        <f>-1*PV($C$4,$A26,0,$B26,0)</f>
        <v>18.976767165000886</v>
      </c>
      <c r="D26">
        <f>(C26/$C$5)</f>
        <v>2.2623780737159913E-2</v>
      </c>
      <c r="E26">
        <f>D26*A26</f>
        <v>0.3619804917945586</v>
      </c>
      <c r="J26" s="2"/>
    </row>
    <row r="27" spans="1:14" x14ac:dyDescent="0.25">
      <c r="A27">
        <v>17</v>
      </c>
      <c r="B27" s="3">
        <f>($C$2*$C$3)</f>
        <v>70</v>
      </c>
      <c r="C27" s="2">
        <f>-1*PV($C$4,$A27,0,$B27,0)</f>
        <v>17.490107986175936</v>
      </c>
      <c r="D27">
        <f>(C27/$C$5)</f>
        <v>2.085141081765891E-2</v>
      </c>
      <c r="E27">
        <f>D27*A27</f>
        <v>0.35447398390020146</v>
      </c>
    </row>
    <row r="28" spans="1:14" x14ac:dyDescent="0.25">
      <c r="A28">
        <v>18</v>
      </c>
      <c r="B28" s="3">
        <f>($C$2*$C$3)</f>
        <v>70</v>
      </c>
      <c r="C28" s="2">
        <f>-1*PV($C$4,$A28,0,$B28,0)</f>
        <v>16.119915194632195</v>
      </c>
      <c r="D28">
        <f>(C28/$C$5)</f>
        <v>1.9217890154524336E-2</v>
      </c>
      <c r="E28">
        <f>D28*A28</f>
        <v>0.34592202278143802</v>
      </c>
    </row>
    <row r="29" spans="1:14" x14ac:dyDescent="0.25">
      <c r="A29">
        <v>19</v>
      </c>
      <c r="B29" s="3">
        <f>($C$2*$C$3)</f>
        <v>70</v>
      </c>
      <c r="C29" s="2">
        <f>-1*PV($C$4,$A29,0,$B29,0)</f>
        <v>14.857064695513545</v>
      </c>
      <c r="D29">
        <f>(C29/$C$5)</f>
        <v>1.7712341156243629E-2</v>
      </c>
      <c r="E29">
        <f>D29*A29</f>
        <v>0.33653448196862895</v>
      </c>
    </row>
    <row r="30" spans="1:14" x14ac:dyDescent="0.25">
      <c r="A30">
        <v>20</v>
      </c>
      <c r="B30" s="3">
        <f>($C$2*$C$3)</f>
        <v>70</v>
      </c>
      <c r="C30" s="2">
        <f>-1*PV($C$4,$A30,0,$B30,0)</f>
        <v>13.693147184805113</v>
      </c>
      <c r="D30">
        <f>(C30/$C$5)</f>
        <v>1.6324738392851274E-2</v>
      </c>
      <c r="E30">
        <f>D30*A30</f>
        <v>0.32649476785702547</v>
      </c>
    </row>
    <row r="31" spans="1:14" x14ac:dyDescent="0.25">
      <c r="A31">
        <v>21</v>
      </c>
      <c r="B31" s="3">
        <f>($C$2*$C$3)</f>
        <v>70</v>
      </c>
      <c r="C31" s="2">
        <f>-1*PV($C$4,$A31,0,$B31,0)</f>
        <v>12.620412151894113</v>
      </c>
      <c r="D31">
        <f>(C31/$C$5)</f>
        <v>1.5045841836729284E-2</v>
      </c>
      <c r="E31">
        <f>D31*A31</f>
        <v>0.31596267857131494</v>
      </c>
    </row>
    <row r="32" spans="1:14" x14ac:dyDescent="0.25">
      <c r="A32">
        <v>22</v>
      </c>
      <c r="B32" s="3">
        <f>($C$2*$C$3)</f>
        <v>70</v>
      </c>
      <c r="C32" s="2">
        <f>-1*PV($C$4,$A32,0,$B32,0)</f>
        <v>11.631716269026834</v>
      </c>
      <c r="D32">
        <f>(C32/$C$5)</f>
        <v>1.3867135333391047E-2</v>
      </c>
      <c r="E32">
        <f>D32*A32</f>
        <v>0.30507697733460304</v>
      </c>
    </row>
    <row r="33" spans="1:5" x14ac:dyDescent="0.25">
      <c r="A33">
        <v>23</v>
      </c>
      <c r="B33" s="3">
        <f>($C$2*$C$3)</f>
        <v>70</v>
      </c>
      <c r="C33" s="2">
        <f>-1*PV($C$4,$A33,0,$B33,0)</f>
        <v>10.720475823987863</v>
      </c>
      <c r="D33">
        <f>(C33/$C$5)</f>
        <v>1.2780769892526307E-2</v>
      </c>
      <c r="E33">
        <f>D33*A33</f>
        <v>0.29395770752810507</v>
      </c>
    </row>
    <row r="34" spans="1:5" x14ac:dyDescent="0.25">
      <c r="A34">
        <v>24</v>
      </c>
      <c r="B34" s="3">
        <f>($C$2*$C$3)</f>
        <v>70</v>
      </c>
      <c r="C34" s="2">
        <f>-1*PV($C$4,$A34,0,$B34,0)</f>
        <v>9.8806228792514883</v>
      </c>
      <c r="D34">
        <f>(C34/$C$5)</f>
        <v>1.1779511421683235E-2</v>
      </c>
      <c r="E34">
        <f>D34*A34</f>
        <v>0.28270827412039762</v>
      </c>
    </row>
    <row r="35" spans="1:5" x14ac:dyDescent="0.25">
      <c r="A35">
        <v>25</v>
      </c>
      <c r="B35" s="3">
        <f>($C$2*$C$3)</f>
        <v>70</v>
      </c>
      <c r="C35" s="2">
        <f>-1*PV($C$4,$A35,0,$B35,0)</f>
        <v>9.1065648656695757</v>
      </c>
      <c r="D35">
        <f>(C35/$C$5)</f>
        <v>1.0856692554546762E-2</v>
      </c>
      <c r="E35">
        <f>D35*A35</f>
        <v>0.27141731386366907</v>
      </c>
    </row>
    <row r="36" spans="1:5" x14ac:dyDescent="0.25">
      <c r="A36">
        <v>26</v>
      </c>
      <c r="B36" s="3">
        <f>($C$2*$C$3)</f>
        <v>70</v>
      </c>
      <c r="C36" s="2">
        <f>-1*PV($C$4,$A36,0,$B36,0)</f>
        <v>8.3931473416309448</v>
      </c>
      <c r="D36">
        <f>(C36/$C$5)</f>
        <v>1.0006168253038489E-2</v>
      </c>
      <c r="E36">
        <f>D36*A36</f>
        <v>0.26016037457900071</v>
      </c>
    </row>
    <row r="37" spans="1:5" x14ac:dyDescent="0.25">
      <c r="A37">
        <v>27</v>
      </c>
      <c r="B37" s="3">
        <f>($C$2*$C$3)</f>
        <v>70</v>
      </c>
      <c r="C37" s="2">
        <f>-1*PV($C$4,$A37,0,$B37,0)</f>
        <v>7.7356196697059394</v>
      </c>
      <c r="D37">
        <f>(C37/$C$5)</f>
        <v>9.222274887593078E-3</v>
      </c>
      <c r="E37">
        <f>D37*A37</f>
        <v>0.2490014219650131</v>
      </c>
    </row>
    <row r="38" spans="1:5" x14ac:dyDescent="0.25">
      <c r="A38">
        <v>28</v>
      </c>
      <c r="B38" s="3">
        <f>($C$2*$C$3)</f>
        <v>70</v>
      </c>
      <c r="C38" s="2">
        <f>-1*PV($C$4,$A38,0,$B38,0)</f>
        <v>7.1296033822174572</v>
      </c>
      <c r="D38">
        <f>(C38/$C$5)</f>
        <v>8.4997925231272611E-3</v>
      </c>
      <c r="E38">
        <f>D38*A38</f>
        <v>0.2379941906475633</v>
      </c>
    </row>
    <row r="39" spans="1:5" x14ac:dyDescent="0.25">
      <c r="A39">
        <v>29</v>
      </c>
      <c r="B39" s="3">
        <f>($C$2*$C$3)</f>
        <v>70</v>
      </c>
      <c r="C39" s="2">
        <f>-1*PV($C$4,$A39,0,$B39,0)</f>
        <v>6.5710630250852136</v>
      </c>
      <c r="D39">
        <f>(C39/$C$5)</f>
        <v>7.8339101595642953E-3</v>
      </c>
      <c r="E39">
        <f>D39*A39</f>
        <v>0.22718339462736456</v>
      </c>
    </row>
    <row r="40" spans="1:5" x14ac:dyDescent="0.25">
      <c r="A40">
        <v>30</v>
      </c>
      <c r="B40" s="2">
        <f>(C2*C3)+(C2)</f>
        <v>1070</v>
      </c>
      <c r="C40" s="2">
        <f>-1*PV($C$4,$A40,0,$B40,0)</f>
        <v>92.574554797118878</v>
      </c>
      <c r="D40">
        <f>(C40/$C$5)</f>
        <v>0.11036581791617903</v>
      </c>
      <c r="E40">
        <f>D40*A40</f>
        <v>3.3109745374853707</v>
      </c>
    </row>
    <row r="41" spans="1:5" x14ac:dyDescent="0.25">
      <c r="D41" s="17" t="s">
        <v>17</v>
      </c>
      <c r="E41" s="16">
        <f>SUM(E11:E40)</f>
        <v>11.994147395527509</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workbookViewId="0">
      <selection activeCell="A11" sqref="A11"/>
    </sheetView>
  </sheetViews>
  <sheetFormatPr defaultRowHeight="13.2" x14ac:dyDescent="0.25"/>
  <sheetData/>
  <pageMargins left="0.7" right="0.7" top="0.75" bottom="0.75" header="0.3" footer="0.3"/>
  <pageSetup scale="84" orientation="portrait" r:id="rId1"/>
  <drawing r:id="rId2"/>
  <legacyDrawing r:id="rId3"/>
  <oleObjects>
    <mc:AlternateContent xmlns:mc="http://schemas.openxmlformats.org/markup-compatibility/2006">
      <mc:Choice Requires="x14">
        <oleObject progId="Word.Document.12" shapeId="6145" r:id="rId4">
          <objectPr defaultSize="0" r:id="rId5">
            <anchor moveWithCells="1">
              <from>
                <xdr:col>1</xdr:col>
                <xdr:colOff>426720</xdr:colOff>
                <xdr:row>1</xdr:row>
                <xdr:rowOff>38100</xdr:rowOff>
              </from>
              <to>
                <xdr:col>11</xdr:col>
                <xdr:colOff>289560</xdr:colOff>
                <xdr:row>29</xdr:row>
                <xdr:rowOff>22860</xdr:rowOff>
              </to>
            </anchor>
          </objectPr>
        </oleObject>
      </mc:Choice>
      <mc:Fallback>
        <oleObject progId="Word.Document.12" shapeId="6145"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7"/>
  <sheetViews>
    <sheetView workbookViewId="0">
      <selection activeCell="B57" sqref="B57:E67"/>
    </sheetView>
  </sheetViews>
  <sheetFormatPr defaultRowHeight="13.2" x14ac:dyDescent="0.25"/>
  <cols>
    <col min="1" max="1" width="18.44140625" bestFit="1" customWidth="1"/>
    <col min="2" max="2" width="16.88671875" bestFit="1" customWidth="1"/>
    <col min="3" max="3" width="16.109375" bestFit="1" customWidth="1"/>
    <col min="4" max="4" width="23" customWidth="1"/>
    <col min="5" max="5" width="9.88671875" bestFit="1" customWidth="1"/>
  </cols>
  <sheetData>
    <row r="1" spans="1:5" ht="15.6" x14ac:dyDescent="0.3">
      <c r="A1" s="4" t="s">
        <v>5</v>
      </c>
      <c r="B1" s="4"/>
      <c r="C1" s="4"/>
    </row>
    <row r="2" spans="1:5" x14ac:dyDescent="0.25">
      <c r="A2" t="s">
        <v>3</v>
      </c>
      <c r="B2" s="3">
        <f>-1*PV(0.1,5,140,1000)</f>
        <v>1151.6314707763381</v>
      </c>
      <c r="D2" s="6" t="s">
        <v>11</v>
      </c>
      <c r="E2" s="7">
        <v>140</v>
      </c>
    </row>
    <row r="3" spans="1:5" x14ac:dyDescent="0.25">
      <c r="A3" t="s">
        <v>4</v>
      </c>
      <c r="B3">
        <v>3.9908000000000001</v>
      </c>
      <c r="D3" s="6" t="s">
        <v>12</v>
      </c>
      <c r="E3" s="1">
        <v>0.1</v>
      </c>
    </row>
    <row r="4" spans="1:5" x14ac:dyDescent="0.25">
      <c r="D4" s="6" t="s">
        <v>13</v>
      </c>
      <c r="E4">
        <v>5</v>
      </c>
    </row>
    <row r="5" spans="1:5" x14ac:dyDescent="0.25">
      <c r="A5" t="s">
        <v>1</v>
      </c>
      <c r="B5" t="s">
        <v>0</v>
      </c>
      <c r="C5" t="s">
        <v>2</v>
      </c>
      <c r="D5" t="s">
        <v>6</v>
      </c>
      <c r="E5" t="s">
        <v>10</v>
      </c>
    </row>
    <row r="6" spans="1:5" x14ac:dyDescent="0.25">
      <c r="A6" s="1">
        <v>-0.05</v>
      </c>
      <c r="B6" s="3">
        <f>(1+(-1*(A6*(B$3/(1+E$3)))))*B$2</f>
        <v>1360.5374195751658</v>
      </c>
      <c r="C6" s="2">
        <f>-1*PV(E$3+A6,E$4,E$2,1000)</f>
        <v>1389.6529003567739</v>
      </c>
      <c r="D6" s="2">
        <f t="shared" ref="D6:D16" si="0">C6-B6</f>
        <v>29.115480781608085</v>
      </c>
      <c r="E6" s="5">
        <f t="shared" ref="E6:E16" si="1">(D6/C6)</f>
        <v>2.0951620922126015E-2</v>
      </c>
    </row>
    <row r="7" spans="1:5" x14ac:dyDescent="0.25">
      <c r="A7" s="1">
        <v>-0.04</v>
      </c>
      <c r="B7" s="3">
        <f>(1+(-1*(A7*(B$3/(1+E$3)))))*B$2</f>
        <v>1318.7562298154003</v>
      </c>
      <c r="C7" s="2">
        <f t="shared" ref="C7:C16" si="2">-1*PV(E$3+A7,E$4,E$2,1000)</f>
        <v>1336.9891028452575</v>
      </c>
      <c r="D7" s="2">
        <f t="shared" si="0"/>
        <v>18.232873029857274</v>
      </c>
      <c r="E7" s="5">
        <f t="shared" si="1"/>
        <v>1.3637263752603327E-2</v>
      </c>
    </row>
    <row r="8" spans="1:5" x14ac:dyDescent="0.25">
      <c r="A8" s="1">
        <v>-0.03</v>
      </c>
      <c r="B8" s="3">
        <f t="shared" ref="B8:B16" si="3">(1+(-1*(A8*(B$3/(1+E$3)))))*B$2</f>
        <v>1276.9750400556347</v>
      </c>
      <c r="C8" s="2">
        <f t="shared" si="2"/>
        <v>1287.0138205163316</v>
      </c>
      <c r="D8" s="2">
        <f t="shared" si="0"/>
        <v>10.038780460696898</v>
      </c>
      <c r="E8" s="5">
        <f t="shared" si="1"/>
        <v>7.8000564567904038E-3</v>
      </c>
    </row>
    <row r="9" spans="1:5" x14ac:dyDescent="0.25">
      <c r="A9" s="1">
        <v>-0.02</v>
      </c>
      <c r="B9" s="3">
        <f t="shared" si="3"/>
        <v>1235.1938502958692</v>
      </c>
      <c r="C9" s="2">
        <f t="shared" si="2"/>
        <v>1239.5626022246852</v>
      </c>
      <c r="D9" s="2">
        <f t="shared" si="0"/>
        <v>4.368751928815982</v>
      </c>
      <c r="E9" s="5">
        <f t="shared" si="1"/>
        <v>3.5244302473914865E-3</v>
      </c>
    </row>
    <row r="10" spans="1:5" x14ac:dyDescent="0.25">
      <c r="A10" s="1">
        <v>-0.01</v>
      </c>
      <c r="B10" s="3">
        <f t="shared" si="3"/>
        <v>1193.4126605361037</v>
      </c>
      <c r="C10" s="2">
        <f t="shared" si="2"/>
        <v>1194.482563167586</v>
      </c>
      <c r="D10" s="2">
        <f t="shared" si="0"/>
        <v>1.0699026314823641</v>
      </c>
      <c r="E10" s="5">
        <f t="shared" si="1"/>
        <v>8.9570385074952039E-4</v>
      </c>
    </row>
    <row r="11" spans="1:5" x14ac:dyDescent="0.25">
      <c r="A11" s="1">
        <v>0</v>
      </c>
      <c r="B11" s="3">
        <f t="shared" si="3"/>
        <v>1151.6314707763381</v>
      </c>
      <c r="C11" s="2">
        <f t="shared" si="2"/>
        <v>1151.6314707763381</v>
      </c>
      <c r="D11" s="2">
        <f t="shared" si="0"/>
        <v>0</v>
      </c>
      <c r="E11" s="5">
        <f t="shared" si="1"/>
        <v>0</v>
      </c>
    </row>
    <row r="12" spans="1:5" x14ac:dyDescent="0.25">
      <c r="A12" s="1">
        <v>0.01</v>
      </c>
      <c r="B12" s="3">
        <f t="shared" si="3"/>
        <v>1109.8502810165726</v>
      </c>
      <c r="C12" s="2">
        <f t="shared" si="2"/>
        <v>1110.8769105294839</v>
      </c>
      <c r="D12" s="2">
        <f t="shared" si="0"/>
        <v>1.0266295129113132</v>
      </c>
      <c r="E12" s="5">
        <f t="shared" si="1"/>
        <v>9.2416135683474118E-4</v>
      </c>
    </row>
    <row r="13" spans="1:5" x14ac:dyDescent="0.25">
      <c r="A13" s="1">
        <v>0.02</v>
      </c>
      <c r="B13" s="3">
        <f t="shared" si="3"/>
        <v>1068.069091256807</v>
      </c>
      <c r="C13" s="2">
        <f t="shared" si="2"/>
        <v>1072.0955240469</v>
      </c>
      <c r="D13" s="2">
        <f t="shared" si="0"/>
        <v>4.0264327900929402</v>
      </c>
      <c r="E13" s="5">
        <f t="shared" si="1"/>
        <v>3.7556660761852035E-3</v>
      </c>
    </row>
    <row r="14" spans="1:5" x14ac:dyDescent="0.25">
      <c r="A14" s="1">
        <v>0.03</v>
      </c>
      <c r="B14" s="3">
        <f t="shared" si="3"/>
        <v>1026.2879014970415</v>
      </c>
      <c r="C14" s="2">
        <f t="shared" si="2"/>
        <v>1035.172312615427</v>
      </c>
      <c r="D14" s="2">
        <f t="shared" si="0"/>
        <v>8.8844111183855148</v>
      </c>
      <c r="E14" s="5">
        <f t="shared" si="1"/>
        <v>8.5825432250390271E-3</v>
      </c>
    </row>
    <row r="15" spans="1:5" x14ac:dyDescent="0.25">
      <c r="A15" s="1">
        <v>0.04</v>
      </c>
      <c r="B15" s="3">
        <f t="shared" si="3"/>
        <v>984.50671173727585</v>
      </c>
      <c r="C15" s="2">
        <f t="shared" si="2"/>
        <v>1000</v>
      </c>
      <c r="D15" s="2">
        <f t="shared" si="0"/>
        <v>15.49328826272415</v>
      </c>
      <c r="E15" s="5">
        <f t="shared" si="1"/>
        <v>1.5493288262724149E-2</v>
      </c>
    </row>
    <row r="16" spans="1:5" x14ac:dyDescent="0.25">
      <c r="A16" s="1">
        <v>0.05</v>
      </c>
      <c r="B16" s="3">
        <f t="shared" si="3"/>
        <v>942.72552197751043</v>
      </c>
      <c r="C16" s="2">
        <f t="shared" si="2"/>
        <v>966.47844901988583</v>
      </c>
      <c r="D16" s="2">
        <f t="shared" si="0"/>
        <v>23.752927042375404</v>
      </c>
      <c r="E16" s="5">
        <f t="shared" si="1"/>
        <v>2.4576778785355694E-2</v>
      </c>
    </row>
    <row r="17" spans="1:5" x14ac:dyDescent="0.25">
      <c r="A17" s="1"/>
      <c r="B17" s="3"/>
      <c r="C17" s="2"/>
      <c r="D17" s="2"/>
      <c r="E17" s="5"/>
    </row>
    <row r="18" spans="1:5" ht="15.6" x14ac:dyDescent="0.3">
      <c r="A18" s="4" t="s">
        <v>7</v>
      </c>
      <c r="B18" s="4"/>
      <c r="C18" s="4"/>
    </row>
    <row r="19" spans="1:5" x14ac:dyDescent="0.25">
      <c r="A19" t="s">
        <v>3</v>
      </c>
      <c r="B19" s="3">
        <f>-1*PV(0.1,5,60,1000)</f>
        <v>848.36852922366199</v>
      </c>
      <c r="D19" s="6" t="s">
        <v>11</v>
      </c>
      <c r="E19" s="7">
        <v>60</v>
      </c>
    </row>
    <row r="20" spans="1:5" x14ac:dyDescent="0.25">
      <c r="A20" t="s">
        <v>4</v>
      </c>
      <c r="B20">
        <v>4.4128999999999996</v>
      </c>
      <c r="D20" s="6" t="s">
        <v>12</v>
      </c>
      <c r="E20" s="1">
        <v>0.1</v>
      </c>
    </row>
    <row r="21" spans="1:5" x14ac:dyDescent="0.25">
      <c r="D21" s="6" t="s">
        <v>13</v>
      </c>
      <c r="E21">
        <v>5</v>
      </c>
    </row>
    <row r="22" spans="1:5" x14ac:dyDescent="0.25">
      <c r="A22" t="s">
        <v>1</v>
      </c>
      <c r="B22" t="s">
        <v>0</v>
      </c>
      <c r="C22" t="s">
        <v>2</v>
      </c>
      <c r="D22" t="s">
        <v>6</v>
      </c>
      <c r="E22" t="s">
        <v>10</v>
      </c>
    </row>
    <row r="23" spans="1:5" x14ac:dyDescent="0.25">
      <c r="A23" s="1">
        <v>-0.05</v>
      </c>
      <c r="B23" s="3">
        <f>(1+(-1*(A23*(B$20/(1+E$20)))))*B$19</f>
        <v>1018.5396875241664</v>
      </c>
      <c r="C23" s="2">
        <f>-1*PV(E$20+A23,E$21,E$19,1000)</f>
        <v>1043.2947667063083</v>
      </c>
      <c r="D23" s="2">
        <f>C23-B23</f>
        <v>24.755079182141912</v>
      </c>
      <c r="E23" s="5">
        <f>(D23/C23)</f>
        <v>2.3727790047575852E-2</v>
      </c>
    </row>
    <row r="24" spans="1:5" x14ac:dyDescent="0.25">
      <c r="A24" s="1">
        <v>-0.04</v>
      </c>
      <c r="B24" s="3">
        <f t="shared" ref="B24:B33" si="4">(1+(-1*(A24*(B$20/(1+E$20)))))*B$19</f>
        <v>984.50545586406554</v>
      </c>
      <c r="C24" s="2">
        <f t="shared" ref="C24:C33" si="5">-1*PV(E$20+A24,E$21,E$19,1000)</f>
        <v>999.99999999999989</v>
      </c>
      <c r="D24" s="2">
        <f t="shared" ref="D24:D33" si="6">C24-B24</f>
        <v>15.494544135934348</v>
      </c>
      <c r="E24" s="5">
        <f t="shared" ref="E24:E33" si="7">(D24/C24)</f>
        <v>1.549454413593435E-2</v>
      </c>
    </row>
    <row r="25" spans="1:5" x14ac:dyDescent="0.25">
      <c r="A25" s="1">
        <v>-0.03</v>
      </c>
      <c r="B25" s="3">
        <f t="shared" si="4"/>
        <v>950.47122420396465</v>
      </c>
      <c r="C25" s="2">
        <f t="shared" si="5"/>
        <v>958.99802564052402</v>
      </c>
      <c r="D25" s="2">
        <f t="shared" si="6"/>
        <v>8.5268014365593672</v>
      </c>
      <c r="E25" s="5">
        <f t="shared" si="7"/>
        <v>8.8913649544421474E-3</v>
      </c>
    </row>
    <row r="26" spans="1:5" x14ac:dyDescent="0.25">
      <c r="A26" s="1">
        <v>-0.02</v>
      </c>
      <c r="B26" s="3">
        <f t="shared" si="4"/>
        <v>916.43699254386377</v>
      </c>
      <c r="C26" s="2">
        <f t="shared" si="5"/>
        <v>920.14579925843827</v>
      </c>
      <c r="D26" s="2">
        <f t="shared" si="6"/>
        <v>3.7088067145745072</v>
      </c>
      <c r="E26" s="5">
        <f t="shared" si="7"/>
        <v>4.0306728754981001E-3</v>
      </c>
    </row>
    <row r="27" spans="1:5" x14ac:dyDescent="0.25">
      <c r="A27" s="1">
        <v>-0.01</v>
      </c>
      <c r="B27" s="3">
        <f t="shared" si="4"/>
        <v>882.40276088376288</v>
      </c>
      <c r="C27" s="2">
        <f t="shared" si="5"/>
        <v>883.31046209944839</v>
      </c>
      <c r="D27" s="2">
        <f t="shared" si="6"/>
        <v>0.90770121568550621</v>
      </c>
      <c r="E27" s="5">
        <f t="shared" si="7"/>
        <v>1.0276128888229016E-3</v>
      </c>
    </row>
    <row r="28" spans="1:5" x14ac:dyDescent="0.25">
      <c r="A28" s="1">
        <v>0</v>
      </c>
      <c r="B28" s="3">
        <f t="shared" si="4"/>
        <v>848.36852922366199</v>
      </c>
      <c r="C28" s="2">
        <f t="shared" si="5"/>
        <v>848.36852922366199</v>
      </c>
      <c r="D28" s="2">
        <f t="shared" si="6"/>
        <v>0</v>
      </c>
      <c r="E28" s="5">
        <f t="shared" si="7"/>
        <v>0</v>
      </c>
    </row>
    <row r="29" spans="1:5" x14ac:dyDescent="0.25">
      <c r="A29" s="1">
        <v>0.01</v>
      </c>
      <c r="B29" s="3">
        <f t="shared" si="4"/>
        <v>814.33429756356111</v>
      </c>
      <c r="C29" s="2">
        <f t="shared" si="5"/>
        <v>815.20514911752673</v>
      </c>
      <c r="D29" s="2">
        <f t="shared" si="6"/>
        <v>0.87085155396562186</v>
      </c>
      <c r="E29" s="5">
        <f t="shared" si="7"/>
        <v>1.0682606150222841E-3</v>
      </c>
    </row>
    <row r="30" spans="1:5" x14ac:dyDescent="0.25">
      <c r="A30" s="1">
        <v>0.02</v>
      </c>
      <c r="B30" s="3">
        <f t="shared" si="4"/>
        <v>780.30006590346022</v>
      </c>
      <c r="C30" s="2">
        <f t="shared" si="5"/>
        <v>783.7134278592996</v>
      </c>
      <c r="D30" s="2">
        <f t="shared" si="6"/>
        <v>3.4133619558393775</v>
      </c>
      <c r="E30" s="5">
        <f t="shared" si="7"/>
        <v>4.3553700045218316E-3</v>
      </c>
    </row>
    <row r="31" spans="1:5" x14ac:dyDescent="0.25">
      <c r="A31" s="1">
        <v>0.03</v>
      </c>
      <c r="B31" s="3">
        <f t="shared" si="4"/>
        <v>746.26583424335934</v>
      </c>
      <c r="C31" s="2">
        <f t="shared" si="5"/>
        <v>753.79381169201076</v>
      </c>
      <c r="D31" s="2">
        <f t="shared" si="6"/>
        <v>7.527977448651427</v>
      </c>
      <c r="E31" s="5">
        <f t="shared" si="7"/>
        <v>9.9867859511259156E-3</v>
      </c>
    </row>
    <row r="32" spans="1:5" x14ac:dyDescent="0.25">
      <c r="A32" s="1">
        <v>0.04</v>
      </c>
      <c r="B32" s="3">
        <f t="shared" si="4"/>
        <v>712.23160258325845</v>
      </c>
      <c r="C32" s="2">
        <f t="shared" si="5"/>
        <v>725.35352249132302</v>
      </c>
      <c r="D32" s="2">
        <f t="shared" si="6"/>
        <v>13.121919908064569</v>
      </c>
      <c r="E32" s="5">
        <f t="shared" si="7"/>
        <v>1.8090378692855302E-2</v>
      </c>
    </row>
    <row r="33" spans="1:5" x14ac:dyDescent="0.25">
      <c r="A33" s="1">
        <v>0.05</v>
      </c>
      <c r="B33" s="3">
        <f t="shared" si="4"/>
        <v>678.19737092315756</v>
      </c>
      <c r="C33" s="2">
        <f t="shared" si="5"/>
        <v>698.30604117897383</v>
      </c>
      <c r="D33" s="2">
        <f t="shared" si="6"/>
        <v>20.108670255816264</v>
      </c>
      <c r="E33" s="5">
        <f t="shared" si="7"/>
        <v>2.8796357284645729E-2</v>
      </c>
    </row>
    <row r="34" spans="1:5" x14ac:dyDescent="0.25">
      <c r="A34" s="1"/>
      <c r="B34" s="3"/>
      <c r="C34" s="2"/>
      <c r="D34" s="2"/>
      <c r="E34" s="5"/>
    </row>
    <row r="35" spans="1:5" ht="15.6" x14ac:dyDescent="0.3">
      <c r="A35" s="4" t="s">
        <v>8</v>
      </c>
      <c r="B35" s="4"/>
      <c r="C35" s="4"/>
    </row>
    <row r="36" spans="1:5" x14ac:dyDescent="0.25">
      <c r="A36" t="s">
        <v>3</v>
      </c>
      <c r="B36" s="3">
        <f>-1*PV(0.1,30,140,1000)</f>
        <v>1377.0765786795328</v>
      </c>
      <c r="D36" s="6" t="s">
        <v>11</v>
      </c>
      <c r="E36" s="7">
        <v>140</v>
      </c>
    </row>
    <row r="37" spans="1:5" x14ac:dyDescent="0.25">
      <c r="A37" t="s">
        <v>4</v>
      </c>
      <c r="B37">
        <v>10.0428</v>
      </c>
      <c r="D37" s="6" t="s">
        <v>12</v>
      </c>
      <c r="E37" s="1">
        <v>0.1</v>
      </c>
    </row>
    <row r="38" spans="1:5" x14ac:dyDescent="0.25">
      <c r="D38" s="6" t="s">
        <v>13</v>
      </c>
      <c r="E38">
        <v>30</v>
      </c>
    </row>
    <row r="39" spans="1:5" x14ac:dyDescent="0.25">
      <c r="A39" t="s">
        <v>1</v>
      </c>
      <c r="B39" t="s">
        <v>0</v>
      </c>
      <c r="C39" t="s">
        <v>2</v>
      </c>
      <c r="D39" t="s">
        <v>6</v>
      </c>
      <c r="E39" t="s">
        <v>10</v>
      </c>
    </row>
    <row r="40" spans="1:5" x14ac:dyDescent="0.25">
      <c r="A40" s="1">
        <v>-0.05</v>
      </c>
      <c r="B40" s="3">
        <f>(1+(-1*(A40*(B$37/(1+E$37)))))*B$36</f>
        <v>2005.6995179687515</v>
      </c>
      <c r="C40" s="2">
        <f>-1*PV(E$37+A40,E$38,E$36,1000)</f>
        <v>2383.5205924194552</v>
      </c>
      <c r="D40" s="2">
        <f>C40-B40</f>
        <v>377.82107445070369</v>
      </c>
      <c r="E40" s="5">
        <f>(D40/C40)</f>
        <v>0.15851387047056575</v>
      </c>
    </row>
    <row r="41" spans="1:5" x14ac:dyDescent="0.25">
      <c r="A41" s="1">
        <v>-0.04</v>
      </c>
      <c r="B41" s="3">
        <f t="shared" ref="B41:B50" si="8">(1+(-1*(A41*(B$37/(1+E$37)))))*B$36</f>
        <v>1879.9749301109077</v>
      </c>
      <c r="C41" s="2">
        <f t="shared" ref="C41:C50" si="9">-1*PV(E$37+A41,E$38,E$36,1000)</f>
        <v>2101.1864921191541</v>
      </c>
      <c r="D41" s="2">
        <f t="shared" ref="D41:D50" si="10">C41-B41</f>
        <v>221.21156200824635</v>
      </c>
      <c r="E41" s="5">
        <f t="shared" ref="E41:E50" si="11">(D41/C41)</f>
        <v>0.10527935661015181</v>
      </c>
    </row>
    <row r="42" spans="1:5" x14ac:dyDescent="0.25">
      <c r="A42" s="1">
        <v>-0.03</v>
      </c>
      <c r="B42" s="3">
        <f t="shared" si="8"/>
        <v>1754.250342253064</v>
      </c>
      <c r="C42" s="2">
        <f t="shared" si="9"/>
        <v>1868.6328828454098</v>
      </c>
      <c r="D42" s="2">
        <f t="shared" si="10"/>
        <v>114.38254059234578</v>
      </c>
      <c r="E42" s="5">
        <f t="shared" si="11"/>
        <v>6.1211884711229569E-2</v>
      </c>
    </row>
    <row r="43" spans="1:5" x14ac:dyDescent="0.25">
      <c r="A43" s="1">
        <v>-0.02</v>
      </c>
      <c r="B43" s="3">
        <f t="shared" si="8"/>
        <v>1628.5257543952202</v>
      </c>
      <c r="C43" s="2">
        <f t="shared" si="9"/>
        <v>1675.4670005876492</v>
      </c>
      <c r="D43" s="2">
        <f t="shared" si="10"/>
        <v>46.941246192428935</v>
      </c>
      <c r="E43" s="5">
        <f t="shared" si="11"/>
        <v>2.8016813327845239E-2</v>
      </c>
    </row>
    <row r="44" spans="1:5" x14ac:dyDescent="0.25">
      <c r="A44" s="1">
        <v>-0.01</v>
      </c>
      <c r="B44" s="3">
        <f t="shared" si="8"/>
        <v>1502.8011665373763</v>
      </c>
      <c r="C44" s="2">
        <f t="shared" si="9"/>
        <v>1513.6827021510871</v>
      </c>
      <c r="D44" s="2">
        <f t="shared" si="10"/>
        <v>10.881535613710867</v>
      </c>
      <c r="E44" s="5">
        <f t="shared" si="11"/>
        <v>7.1887824299287882E-3</v>
      </c>
    </row>
    <row r="45" spans="1:5" x14ac:dyDescent="0.25">
      <c r="A45" s="1">
        <v>0</v>
      </c>
      <c r="B45" s="3">
        <f t="shared" si="8"/>
        <v>1377.0765786795328</v>
      </c>
      <c r="C45" s="2">
        <f t="shared" si="9"/>
        <v>1377.0765786795328</v>
      </c>
      <c r="D45" s="2">
        <f t="shared" si="10"/>
        <v>0</v>
      </c>
      <c r="E45" s="5">
        <f t="shared" si="11"/>
        <v>0</v>
      </c>
    </row>
    <row r="46" spans="1:5" x14ac:dyDescent="0.25">
      <c r="A46" s="1">
        <v>0.01</v>
      </c>
      <c r="B46" s="3">
        <f t="shared" si="8"/>
        <v>1251.351990821689</v>
      </c>
      <c r="C46" s="2">
        <f t="shared" si="9"/>
        <v>1260.8137772039836</v>
      </c>
      <c r="D46" s="2">
        <f t="shared" si="10"/>
        <v>9.4617863822945765</v>
      </c>
      <c r="E46" s="5">
        <f t="shared" si="11"/>
        <v>7.5045074485760319E-3</v>
      </c>
    </row>
    <row r="47" spans="1:5" x14ac:dyDescent="0.25">
      <c r="A47" s="1">
        <v>0.02</v>
      </c>
      <c r="B47" s="3">
        <f t="shared" si="8"/>
        <v>1125.6274029638453</v>
      </c>
      <c r="C47" s="2">
        <f t="shared" si="9"/>
        <v>1161.1036793533472</v>
      </c>
      <c r="D47" s="2">
        <f t="shared" si="10"/>
        <v>35.476276389501891</v>
      </c>
      <c r="E47" s="5">
        <f t="shared" si="11"/>
        <v>3.0553926423917348E-2</v>
      </c>
    </row>
    <row r="48" spans="1:5" x14ac:dyDescent="0.25">
      <c r="A48" s="1">
        <v>0.03</v>
      </c>
      <c r="B48" s="3">
        <f t="shared" si="8"/>
        <v>999.90281510600164</v>
      </c>
      <c r="C48" s="2">
        <f t="shared" si="9"/>
        <v>1074.9565343933116</v>
      </c>
      <c r="D48" s="2">
        <f t="shared" si="10"/>
        <v>75.053719287309946</v>
      </c>
      <c r="E48" s="5">
        <f t="shared" si="11"/>
        <v>6.9820236340689887E-2</v>
      </c>
    </row>
    <row r="49" spans="1:5" x14ac:dyDescent="0.25">
      <c r="A49" s="1">
        <v>0.04</v>
      </c>
      <c r="B49" s="3">
        <f t="shared" si="8"/>
        <v>874.1782272481579</v>
      </c>
      <c r="C49" s="2">
        <f t="shared" si="9"/>
        <v>999.99999999999989</v>
      </c>
      <c r="D49" s="2">
        <f t="shared" si="10"/>
        <v>125.82177275184199</v>
      </c>
      <c r="E49" s="5">
        <f t="shared" si="11"/>
        <v>0.125821772751842</v>
      </c>
    </row>
    <row r="50" spans="1:5" x14ac:dyDescent="0.25">
      <c r="A50" s="1">
        <v>0.05</v>
      </c>
      <c r="B50" s="3">
        <f t="shared" si="8"/>
        <v>748.45363939031415</v>
      </c>
      <c r="C50" s="2">
        <f t="shared" si="9"/>
        <v>934.34020363292552</v>
      </c>
      <c r="D50" s="2">
        <f t="shared" si="10"/>
        <v>185.88656424261137</v>
      </c>
      <c r="E50" s="5">
        <f t="shared" si="11"/>
        <v>0.19894955126606184</v>
      </c>
    </row>
    <row r="52" spans="1:5" ht="15.6" x14ac:dyDescent="0.3">
      <c r="A52" s="4" t="s">
        <v>9</v>
      </c>
    </row>
    <row r="53" spans="1:5" x14ac:dyDescent="0.25">
      <c r="A53" t="s">
        <v>3</v>
      </c>
      <c r="B53" s="3">
        <f>-1*PV(0.1,30,60,1000)</f>
        <v>622.92342132046724</v>
      </c>
      <c r="D53" s="6" t="s">
        <v>11</v>
      </c>
      <c r="E53" s="7">
        <v>60</v>
      </c>
    </row>
    <row r="54" spans="1:5" x14ac:dyDescent="0.25">
      <c r="A54" t="s">
        <v>4</v>
      </c>
      <c r="B54">
        <v>11.092000000000001</v>
      </c>
      <c r="D54" s="6" t="s">
        <v>12</v>
      </c>
      <c r="E54" s="1">
        <v>0.1</v>
      </c>
    </row>
    <row r="55" spans="1:5" x14ac:dyDescent="0.25">
      <c r="D55" s="6" t="s">
        <v>13</v>
      </c>
      <c r="E55">
        <v>30</v>
      </c>
    </row>
    <row r="56" spans="1:5" x14ac:dyDescent="0.25">
      <c r="A56" t="s">
        <v>1</v>
      </c>
      <c r="B56" t="s">
        <v>0</v>
      </c>
      <c r="C56" t="s">
        <v>2</v>
      </c>
      <c r="D56" t="s">
        <v>6</v>
      </c>
      <c r="E56" t="s">
        <v>10</v>
      </c>
    </row>
    <row r="57" spans="1:5" x14ac:dyDescent="0.25">
      <c r="A57" s="1">
        <v>-0.05</v>
      </c>
      <c r="B57" s="3">
        <f>(1+(-1*(A57*(B$54/(1+E$54)))))*B$53</f>
        <v>936.9900844698592</v>
      </c>
      <c r="C57" s="2">
        <f>-1*PV(E$54+A57,E$55,E$53,1000)</f>
        <v>1153.7245102688285</v>
      </c>
      <c r="D57" s="2">
        <f>C57-B57</f>
        <v>216.73442579896926</v>
      </c>
      <c r="E57" s="5">
        <f>(D57/C57)</f>
        <v>0.18785630700388617</v>
      </c>
    </row>
    <row r="58" spans="1:5" x14ac:dyDescent="0.25">
      <c r="A58" s="1">
        <v>-0.04</v>
      </c>
      <c r="B58" s="3">
        <f t="shared" ref="B58:B67" si="12">(1+(-1*(A58*(B$54/(1+E$54)))))*B$53</f>
        <v>874.17675183998074</v>
      </c>
      <c r="C58" s="2">
        <f t="shared" ref="C58:C67" si="13">-1*PV(E$54+A58,E$55,E$53,1000)</f>
        <v>1000</v>
      </c>
      <c r="D58" s="2">
        <f t="shared" ref="D58:D67" si="14">C58-B58</f>
        <v>125.82324816001926</v>
      </c>
      <c r="E58" s="5">
        <f t="shared" ref="E58:E67" si="15">(D58/C58)</f>
        <v>0.12582324816001927</v>
      </c>
    </row>
    <row r="59" spans="1:5" x14ac:dyDescent="0.25">
      <c r="A59" s="1">
        <v>-0.03</v>
      </c>
      <c r="B59" s="3">
        <f t="shared" si="12"/>
        <v>811.36341921010239</v>
      </c>
      <c r="C59" s="2">
        <f t="shared" si="13"/>
        <v>875.90958816494117</v>
      </c>
      <c r="D59" s="2">
        <f t="shared" si="14"/>
        <v>64.546168954838777</v>
      </c>
      <c r="E59" s="5">
        <f t="shared" si="15"/>
        <v>7.3690446853156483E-2</v>
      </c>
    </row>
    <row r="60" spans="1:5" x14ac:dyDescent="0.25">
      <c r="A60" s="1">
        <v>-0.02</v>
      </c>
      <c r="B60" s="3">
        <f t="shared" si="12"/>
        <v>748.55008658022393</v>
      </c>
      <c r="C60" s="2">
        <f t="shared" si="13"/>
        <v>774.84433313745035</v>
      </c>
      <c r="D60" s="2">
        <f t="shared" si="14"/>
        <v>26.294246557226415</v>
      </c>
      <c r="E60" s="5">
        <f t="shared" si="15"/>
        <v>3.3934876248958842E-2</v>
      </c>
    </row>
    <row r="61" spans="1:5" x14ac:dyDescent="0.25">
      <c r="A61" s="1">
        <v>-0.01</v>
      </c>
      <c r="B61" s="3">
        <f t="shared" si="12"/>
        <v>685.73675395034559</v>
      </c>
      <c r="C61" s="2">
        <f t="shared" si="13"/>
        <v>691.79037870934769</v>
      </c>
      <c r="D61" s="2">
        <f t="shared" si="14"/>
        <v>6.0536247590021048</v>
      </c>
      <c r="E61" s="5">
        <f t="shared" si="15"/>
        <v>8.7506634167074833E-3</v>
      </c>
    </row>
    <row r="62" spans="1:5" x14ac:dyDescent="0.25">
      <c r="A62" s="1">
        <v>0</v>
      </c>
      <c r="B62" s="3">
        <f t="shared" si="12"/>
        <v>622.92342132046724</v>
      </c>
      <c r="C62" s="2">
        <f t="shared" si="13"/>
        <v>622.92342132046724</v>
      </c>
      <c r="D62" s="2">
        <f t="shared" si="14"/>
        <v>0</v>
      </c>
      <c r="E62" s="5">
        <f t="shared" si="15"/>
        <v>0</v>
      </c>
    </row>
    <row r="63" spans="1:5" x14ac:dyDescent="0.25">
      <c r="A63" s="1">
        <v>0.01</v>
      </c>
      <c r="B63" s="3">
        <f t="shared" si="12"/>
        <v>560.1100886905889</v>
      </c>
      <c r="C63" s="2">
        <f t="shared" si="13"/>
        <v>565.31037132669394</v>
      </c>
      <c r="D63" s="2">
        <f t="shared" si="14"/>
        <v>5.2002826361050438</v>
      </c>
      <c r="E63" s="5">
        <f t="shared" si="15"/>
        <v>9.1989867864989E-3</v>
      </c>
    </row>
    <row r="64" spans="1:5" x14ac:dyDescent="0.25">
      <c r="A64" s="1">
        <v>0.02</v>
      </c>
      <c r="B64" s="3">
        <f t="shared" si="12"/>
        <v>497.29675606071049</v>
      </c>
      <c r="C64" s="2">
        <f t="shared" si="13"/>
        <v>516.68896193995829</v>
      </c>
      <c r="D64" s="2">
        <f t="shared" si="14"/>
        <v>19.392205879247797</v>
      </c>
      <c r="E64" s="5">
        <f t="shared" si="15"/>
        <v>3.7531682129298638E-2</v>
      </c>
    </row>
    <row r="65" spans="1:5" x14ac:dyDescent="0.25">
      <c r="A65" s="1">
        <v>0.03</v>
      </c>
      <c r="B65" s="3">
        <f t="shared" si="12"/>
        <v>434.48342343083215</v>
      </c>
      <c r="C65" s="2">
        <f t="shared" si="13"/>
        <v>475.30425924681953</v>
      </c>
      <c r="D65" s="2">
        <f t="shared" si="14"/>
        <v>40.82083581598738</v>
      </c>
      <c r="E65" s="5">
        <f t="shared" si="15"/>
        <v>8.588358934690217E-2</v>
      </c>
    </row>
    <row r="66" spans="1:5" x14ac:dyDescent="0.25">
      <c r="A66" s="1">
        <v>0.04</v>
      </c>
      <c r="B66" s="3">
        <f t="shared" si="12"/>
        <v>371.67009080095369</v>
      </c>
      <c r="C66" s="2">
        <f t="shared" si="13"/>
        <v>439.78687102180231</v>
      </c>
      <c r="D66" s="2">
        <f t="shared" si="14"/>
        <v>68.116780220848625</v>
      </c>
      <c r="E66" s="5">
        <f t="shared" si="15"/>
        <v>0.15488588839086048</v>
      </c>
    </row>
    <row r="67" spans="1:5" x14ac:dyDescent="0.25">
      <c r="A67" s="1">
        <v>0.05</v>
      </c>
      <c r="B67" s="3">
        <f t="shared" si="12"/>
        <v>308.85675817107528</v>
      </c>
      <c r="C67" s="2">
        <f t="shared" si="13"/>
        <v>409.06183269633073</v>
      </c>
      <c r="D67" s="2">
        <f t="shared" si="14"/>
        <v>100.20507452525544</v>
      </c>
      <c r="E67" s="5">
        <f t="shared" si="15"/>
        <v>0.24496314863881036</v>
      </c>
    </row>
  </sheetData>
  <phoneticPr fontId="0" type="noConversion"/>
  <printOptions gridLines="1"/>
  <pageMargins left="0.75" right="0.75" top="1" bottom="1" header="0.5" footer="0.5"/>
  <pageSetup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4</vt:i4>
      </vt:variant>
    </vt:vector>
  </HeadingPairs>
  <TitlesOfParts>
    <vt:vector size="8" baseType="lpstr">
      <vt:lpstr>Duration</vt:lpstr>
      <vt:lpstr>Immunization</vt:lpstr>
      <vt:lpstr>Convexity Cover</vt:lpstr>
      <vt:lpstr>Convexity Calculations</vt:lpstr>
      <vt:lpstr>5 Year 14% Coupon</vt:lpstr>
      <vt:lpstr>5 Year 6% Coupon</vt:lpstr>
      <vt:lpstr>30 Year 14% Coupon</vt:lpstr>
      <vt:lpstr>30 Year 6% Coupon</vt:lpstr>
    </vt:vector>
  </TitlesOfParts>
  <Company>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Pittsburg State University</dc:creator>
  <cp:lastModifiedBy>Kevin Bracker</cp:lastModifiedBy>
  <cp:lastPrinted>2011-03-07T22:22:31Z</cp:lastPrinted>
  <dcterms:created xsi:type="dcterms:W3CDTF">2002-01-23T17:32:22Z</dcterms:created>
  <dcterms:modified xsi:type="dcterms:W3CDTF">2022-05-02T01:32:37Z</dcterms:modified>
</cp:coreProperties>
</file>